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2.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EC2NodeXLCollection\NetworkFiles\GraphServerTwitterSearch\"/>
    </mc:Choice>
  </mc:AlternateContent>
  <bookViews>
    <workbookView xWindow="0" yWindow="0" windowWidth="11640" windowHeight="7050" firstSheet="1" activeTab="1"/>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Twitter Search Ntwrk Top Items" sheetId="8" r:id="rId8"/>
    <sheet name="Words" sheetId="9" r:id="rId9"/>
    <sheet name="Word Pairs" sheetId="10" r:id="rId10"/>
    <sheet name="Group Edges" sheetId="11" r:id="rId11"/>
    <sheet name="Top Items" sheetId="12" r:id="rId12"/>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52511"/>
</workbook>
</file>

<file path=xl/calcChain.xml><?xml version="1.0" encoding="utf-8"?>
<calcChain xmlns="http://schemas.openxmlformats.org/spreadsheetml/2006/main">
  <c r="AX3" i="1" l="1"/>
  <c r="AX4" i="1"/>
  <c r="AX5" i="1"/>
  <c r="AW3" i="1"/>
  <c r="AW4" i="1"/>
  <c r="AW5" i="1"/>
  <c r="BA3" i="3"/>
  <c r="BA4" i="3"/>
  <c r="BA5" i="3"/>
  <c r="C2" i="6"/>
  <c r="C3" i="6"/>
  <c r="C4"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100" i="7"/>
  <c r="B99" i="7"/>
  <c r="J57" i="7"/>
  <c r="K57" i="7" s="1"/>
  <c r="J2" i="7"/>
  <c r="B97" i="7" s="1"/>
  <c r="B86" i="7"/>
  <c r="B85" i="7"/>
  <c r="H57" i="7"/>
  <c r="I57" i="7" s="1"/>
  <c r="H2" i="7"/>
  <c r="B83" i="7" s="1"/>
  <c r="B72" i="7"/>
  <c r="B71" i="7"/>
  <c r="F57" i="7"/>
  <c r="G57" i="7" s="1"/>
  <c r="F2" i="7"/>
  <c r="B69" i="7" s="1"/>
  <c r="B56" i="7"/>
  <c r="B55" i="7"/>
  <c r="B58" i="7"/>
  <c r="B57" i="7"/>
  <c r="T2" i="7"/>
  <c r="T57" i="7"/>
  <c r="B126" i="7" l="1"/>
  <c r="B112" i="7"/>
  <c r="B98" i="7"/>
  <c r="B154" i="7"/>
  <c r="B140" i="7"/>
  <c r="B84" i="7"/>
  <c r="B7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E57" i="7" s="1"/>
  <c r="D2" i="7"/>
  <c r="U57" i="7"/>
  <c r="P40" i="7" l="1"/>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charset val="1"/>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charset val="1"/>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C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D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F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G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H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I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J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K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L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M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P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Q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R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S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T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X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Y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Z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AA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B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D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charset val="1"/>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charset val="1"/>
          </rPr>
          <t xml:space="preserve">
</t>
        </r>
        <r>
          <rPr>
            <sz val="9"/>
            <color indexed="81"/>
            <rFont val="Tahoma"/>
            <charset val="1"/>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charset val="1"/>
          </rPr>
          <t xml:space="preserve">
</t>
        </r>
        <r>
          <rPr>
            <sz val="9"/>
            <color indexed="81"/>
            <rFont val="Tahoma"/>
            <charset val="1"/>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<sst xmlns="http://schemas.openxmlformats.org/spreadsheetml/2006/main" count="792" uniqueCount="447">
  <si>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</si>
  <si>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</si>
  <si>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</si>
  <si>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</si>
  <si>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</si>
  <si>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</si>
  <si>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</si>
  <si>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</si>
  <si>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</si>
  <si>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</si>
  <si>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</si>
  <si>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</si>
  <si>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</si>
  <si>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</si>
  <si>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</si>
  <si>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</si>
  <si>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</si>
  <si>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</si>
  <si>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</si>
  <si>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</si>
  <si>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</si>
  <si>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</si>
  <si>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</si>
  <si>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</si>
  <si>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</si>
  <si>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</si>
  <si>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</si>
  <si>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</si>
  <si>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</si>
  <si>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</si>
  <si>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</si>
  <si>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</si>
  <si>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</si>
  <si>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</si>
  <si>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</si>
  <si>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</si>
  <si>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</si>
  <si>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</si>
  <si>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</si>
  <si>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</si>
  <si>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</si>
  <si>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</si>
  <si>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</si>
  <si>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</si>
  <si>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</si>
  <si>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</si>
  <si>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</si>
  <si>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</si>
  <si>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</si>
  <si>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</si>
  <si>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</si>
  <si>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</si>
  <si>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</si>
  <si>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</si>
  <si>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</si>
  <si>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</si>
  <si>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</si>
  <si>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</si>
  <si>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</si>
  <si>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</si>
  <si>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</si>
  <si>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</si>
  <si>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</si>
  <si>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</si>
  <si>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</si>
  <si>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</si>
  <si>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</si>
  <si>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</si>
  <si>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</si>
  <si>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</si>
  <si>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</si>
  <si>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</si>
  <si>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</si>
  <si>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</si>
  <si>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</si>
  <si>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</si>
  <si>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</si>
  <si>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</si>
  <si>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</si>
  <si>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</si>
  <si>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</si>
  <si>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</si>
  <si>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</si>
  <si>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</si>
  <si>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</si>
  <si>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</si>
  <si>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</si>
  <si>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</si>
  <si>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</si>
  <si>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</si>
  <si>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</si>
  <si>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</si>
  <si>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</si>
  <si>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</si>
  <si>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</si>
  <si>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</si>
  <si>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</si>
  <si>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</si>
  <si>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</si>
  <si>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</si>
  <si>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</si>
  <si>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</si>
  <si>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</si>
  <si>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</si>
  <si>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</si>
  <si>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</si>
  <si>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</si>
  <si>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</si>
  <si>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</si>
  <si>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</si>
  <si>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</si>
  <si>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</si>
  <si>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</si>
  <si>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</si>
  <si>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</si>
  <si>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</si>
  <si>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</si>
  <si>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</si>
  <si>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</si>
  <si>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</si>
  <si>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</si>
  <si>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</si>
  <si>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</si>
  <si>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</si>
  <si>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</si>
  <si>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</si>
  <si>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</si>
  <si>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</si>
  <si>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</si>
  <si>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</si>
  <si>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</si>
  <si>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</si>
  <si>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</si>
  <si>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</si>
  <si>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</si>
  <si>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</si>
  <si>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</si>
  <si>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</si>
  <si>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</si>
  <si>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</si>
  <si>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</si>
  <si>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</si>
  <si>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</si>
  <si>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</si>
  <si>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</si>
  <si>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</si>
  <si>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</si>
  <si>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</si>
  <si>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</si>
  <si>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</si>
  <si>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</si>
  <si>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</si>
  <si>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</si>
  <si>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</si>
  <si>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</si>
  <si>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</si>
  <si>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</si>
  <si>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</si>
  <si>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</si>
  <si>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</si>
  <si>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</si>
  <si>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</si>
  <si>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</si>
  <si>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</si>
  <si>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</si>
  <si>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</si>
  <si>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</si>
  <si>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</si>
  <si>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</si>
  <si>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</si>
  <si>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</si>
  <si>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</si>
  <si>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</si>
  <si>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</si>
  <si>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Relationship</t>
  </si>
  <si>
    <t>Relationship Date (UTC)</t>
  </si>
  <si>
    <t>Tweet</t>
  </si>
  <si>
    <t>URLs in Tweet</t>
  </si>
  <si>
    <t>Domains in Tweet</t>
  </si>
  <si>
    <t>Hashtags in Tweet</t>
  </si>
  <si>
    <t>Tweet Date (UTC)</t>
  </si>
  <si>
    <t>Twitter Page for Tweet</t>
  </si>
  <si>
    <t>Latitude</t>
  </si>
  <si>
    <t>Longitude</t>
  </si>
  <si>
    <t>Imported ID</t>
  </si>
  <si>
    <t>In-Reply-To Tweet ID</t>
  </si>
  <si>
    <t>Favorited</t>
  </si>
  <si>
    <t>Favorite Count</t>
  </si>
  <si>
    <t>In-Reply-To User ID</t>
  </si>
  <si>
    <t>Is Quote Status</t>
  </si>
  <si>
    <t>Language</t>
  </si>
  <si>
    <t>Possibly Sensitive</t>
  </si>
  <si>
    <t>Quoted Status ID</t>
  </si>
  <si>
    <t>Retweeted</t>
  </si>
  <si>
    <t>Retweet Count</t>
  </si>
  <si>
    <t>Retweet ID</t>
  </si>
  <si>
    <t>Source</t>
  </si>
  <si>
    <t>Truncated</t>
  </si>
  <si>
    <t>Unified Twitter ID</t>
  </si>
  <si>
    <t>Place Bounding Box</t>
  </si>
  <si>
    <t>Place Country</t>
  </si>
  <si>
    <t>Place Country Code</t>
  </si>
  <si>
    <t>Place Full Name</t>
  </si>
  <si>
    <t>Place ID</t>
  </si>
  <si>
    <t>Place Name</t>
  </si>
  <si>
    <t>Place Type</t>
  </si>
  <si>
    <t>Place URL</t>
  </si>
  <si>
    <t>df_lex</t>
  </si>
  <si>
    <t>scitecito</t>
  </si>
  <si>
    <t>peterljanssen</t>
  </si>
  <si>
    <t>Mentions</t>
  </si>
  <si>
    <t>Defensie bijdrage aan de ontwikkeling van een nieuw radar- en vuurleidingssysteem door Thales Nederland   https://t.co/AO5xCGbqFl #marine</t>
  </si>
  <si>
    <t>Defensiebijdrage aan de ontwikkeling van een nieuw radar- en vuurleidingssysteem door Thales Nederland #vMFF https://t.co/9s87kWg4cY</t>
  </si>
  <si>
    <t>RT @SciteCito: Defensiebijdrage aan de ontwikkeling van een nieuw radar- en vuurleidingssysteem door Thales Nederland #vMFF https://t.co/9s…</t>
  </si>
  <si>
    <t>https://www.tweedekamer.nl/kamerstukken/brieven_regering/detail?id=2016Z24507&amp;did=2016D50210</t>
  </si>
  <si>
    <t>tweedekamer.nl</t>
  </si>
  <si>
    <t>marine</t>
  </si>
  <si>
    <t>vmff</t>
  </si>
  <si>
    <t>https://twitter.com/#!/df_lex/status/811238657218740224</t>
  </si>
  <si>
    <t>https://twitter.com/#!/scitecito/status/811823827705626625</t>
  </si>
  <si>
    <t>https://twitter.com/#!/peterljanssen/status/811852889543077888</t>
  </si>
  <si>
    <t>811238657218740224</t>
  </si>
  <si>
    <t>811823827705626625</t>
  </si>
  <si>
    <t>811852889543077888</t>
  </si>
  <si>
    <t/>
  </si>
  <si>
    <t>nl</t>
  </si>
  <si>
    <t>Twitter Web Client</t>
  </si>
  <si>
    <t>Twitter for Android</t>
  </si>
  <si>
    <t>5.566138,51.180459 
5.566138,51.290449 
5.791689,51.290449 
5.791689,51.180459</t>
  </si>
  <si>
    <t>Nederland</t>
  </si>
  <si>
    <t>NL</t>
  </si>
  <si>
    <t>Weert, Nederland</t>
  </si>
  <si>
    <t>ae01d92f06962b96</t>
  </si>
  <si>
    <t>Weert</t>
  </si>
  <si>
    <t>city</t>
  </si>
  <si>
    <t>https://api.twitter.com/1.1/geo/id/ae01d92f06962b96.json</t>
  </si>
  <si>
    <t>Name</t>
  </si>
  <si>
    <t>Followed</t>
  </si>
  <si>
    <t>Followers</t>
  </si>
  <si>
    <t>Tweets</t>
  </si>
  <si>
    <t>Favorites</t>
  </si>
  <si>
    <t>Time Zone UTC Offset (Seconds)</t>
  </si>
  <si>
    <t>Description</t>
  </si>
  <si>
    <t>Location</t>
  </si>
  <si>
    <t>Web</t>
  </si>
  <si>
    <t>Time Zone</t>
  </si>
  <si>
    <t>Joined Twitter Date (UTC)</t>
  </si>
  <si>
    <t>Profile Banner Url</t>
  </si>
  <si>
    <t>Default Profile</t>
  </si>
  <si>
    <t>Default Profile Image</t>
  </si>
  <si>
    <t>Geo Enabled</t>
  </si>
  <si>
    <t>Listed Count</t>
  </si>
  <si>
    <t>Profile Background Image Url</t>
  </si>
  <si>
    <t>Verified</t>
  </si>
  <si>
    <t>Custom Menu Item Text</t>
  </si>
  <si>
    <t>Custom Menu Item Action</t>
  </si>
  <si>
    <t>Tweeted Search Term?</t>
  </si>
  <si>
    <t>Lex Meijer</t>
  </si>
  <si>
    <t>JuVi</t>
  </si>
  <si>
    <t>pljanssen</t>
  </si>
  <si>
    <t>Retired RNLNavy</t>
  </si>
  <si>
    <t>Gepensioneerd</t>
  </si>
  <si>
    <t>The Netherlands</t>
  </si>
  <si>
    <t>Raamsdonksveer</t>
  </si>
  <si>
    <t>http://www.avom-breda.nl</t>
  </si>
  <si>
    <t>Amsterdam</t>
  </si>
  <si>
    <t>https://pbs.twimg.com/profile_banners/779904919/1423901940</t>
  </si>
  <si>
    <t>https://pbs.twimg.com/profile_banners/3201199204/1476675736</t>
  </si>
  <si>
    <t>http://pbs.twimg.com/profile_background_images/527572696247173120/rDYq1ZNA.jpeg</t>
  </si>
  <si>
    <t>http://abs.twimg.com/images/themes/theme1/bg.png</t>
  </si>
  <si>
    <t>http://pbs.twimg.com/profile_images/378800000017279568/9519225184ec9d7c1ddd87d5e5c5d5b1_normal.jpeg</t>
  </si>
  <si>
    <t>http://pbs.twimg.com/profile_images/2541189149/205540_204769096224225_100000734087886_614825_847146_n_normal.jpg</t>
  </si>
  <si>
    <t>http://pbs.twimg.com/profile_images/797399975105794048/rnqy3_7g_normal.jpg</t>
  </si>
  <si>
    <t>Open Twitter Page for This Person</t>
  </si>
  <si>
    <t>https://twitter.com/df_lex</t>
  </si>
  <si>
    <t>https://twitter.com/scitecito</t>
  </si>
  <si>
    <t>https://twitter.com/peterljanssen</t>
  </si>
  <si>
    <t>df_lex
Defensie bijdrage aan de ontwikkeling
van een nieuw radar- en vuurleidingssysteem
door Thales Nederland https://t.co/AO5xCGbqFl
#marine</t>
  </si>
  <si>
    <t>scitecito
Defensiebijdrage aan de ontwikkeling
van een nieuw radar- en vuurleidingssysteem
door Thales Nederland #vMFF https://t.co/9s87kWg4cY</t>
  </si>
  <si>
    <t>peterljanssen
RT @SciteCito: Defensiebijdrage
aan de ontwikkeling van een nieuw
radar- en vuurleidingssysteem door
Thales Nederland #vMFF https://t.co/9s…</t>
  </si>
  <si>
    <t>Directed</t>
  </si>
  <si>
    <t>&lt;?xml version="1.0" encoding="utf-8"?&gt;_x000D_
&lt;configuration&gt;_x000D_
  &lt;configSections&gt;_x000D_
    &lt;sectionGroup name="userSettings" type="System.Configuration.UserSettingsGroup, System, Version=2.0.0.0, Culture=neutral, PublicKeyToken=b77a5c561934e089"&gt;_x000D_
      &lt;section name="ExportDataUserSettings" type="System.Configuration.ClientSettingsSection, System, Version=2.0.0.0, Culture=neutral, PublicKeyToken=b77a5c561934e089" allowExeDefinition="MachineToLocalUser" requirePermission="false" /&gt;_x000D_
      &lt;section name="PlugInUserSettings" type="System.Configuration.ClientSettingsSection, System, Version=2.0.0.0, Culture=neutral, PublicKeyToken=b77a5c561934e089" allowExeDefinition="MachineToLocalUser" requirePermission="false" /&gt;_x000D_
      &lt;section name="ExportToNodeXLGraphGalleryUserSettings" type="System.Configuration.ClientSettingsSection, System, Version=2.0.0.0, Culture=neutral, PublicKeyToken=b77a5c561934e089" allowExeDefinition="MachineToLocalUser" requirePermission="false" /&gt;_x000D_
      &lt;section name="ExportToEmailUserSettings" type="System.Configuration.ClientSettingsSection, System, Version=2.0.0.0, Culture=neutral, PublicKeyToken=b77a5c561934e089" allowExeDefinition="MachineToLocalUser" requirePermission="false" /&gt;_x000D_
      &lt;section name="ImportDataUserSettings" type="System.Configuration.ClientSettingsSection, System, Version=2.0.0.0, Culture=neutral, PublicKeyToken=b77a5c561934e089" allowExeDefinition="MachineToLocalUser" requirePermission="false" /&gt;_x000D_
      &lt;section name="ClusterUserSettings"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name="GroupUserSettings" type="System.Configuration.ClientSettingsSection, System, Version=2.0.0.0, Culture=neutral, PublicKeyToken=b77a5c561934e089" allowExeDefinition="MachineToLocalUser" requirePermission="false" /&gt;_x000D_
      &lt;section name="AutomatedGraphImageUserSettings"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name="AutomateTasksUserSettings"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name="LayoutUserSettings"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 name="GraphImageUserSettings2" type="System.Configuration.ClientSettingsSection, System, Version=2.0.0.0, Culture=neutral, PublicKeyToken=b77a5c561934e089" allowExeDefinition="MachineToLocalUser" requirePermission="false" /&gt;_x000D_
      &lt;section name="DynamicFiltersUserSettings"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&lt;/sectionGroup&gt;_x000D_
  &lt;/configSections&gt;_x000D_
  &lt;userSettings&gt;_x000D_
    &lt;ExportDataUserSettings&gt;_x000D_
      &lt;setting name="URL" serializeAs="String"&gt;_x000D_
        &lt;value&gt;http://bit.ly/NodeXLMaps&lt;/value&gt;_x000D_
      &lt;/setting&gt;_x000D_
      &lt;setting name="Hashtag" serializeAs="String"&gt;_x000D_
        &lt;value&gt;#NodeXL&lt;/value&gt;_x000D_
      &lt;/setting&gt;_x000D_
      &lt;setting name="BrandURL" serializeAs="String"&gt;_x000D_
        &lt;value&gt;http://connectedaction.net&lt;/value&gt;_x000D_
      &lt;/setting&gt;_x000D_
      &lt;setting name="ActionLabel" serializeAs="String"&gt;_x000D_
        &lt;value&gt;Buy a social media network map and report&lt;/value&gt;_x000D_
      &lt;/setting&gt;_x000D_
      &lt;setting name="ActionURL" serializeAs="String"&gt;_x000D_
        &lt;value&gt;http://bit.ly/NodeXLMaps&lt;/value&gt;_x000D_
      &lt;/setting&gt;_x000D_
      &lt;setting name="BrandLogo" serializeAs="String"&gt;_x000D_
        &lt;value&gt;http://www.connectedaction.net/wp-content/uploads/2009/11/2009-Connected-Action-Logo.png&lt;/value&gt;_x000D_
      &lt;/setting&gt;_x000D_
    &lt;/ExportDataUserSettings&gt;_x000D_
    &lt;PlugInUserSettings&gt;_x000D_
      &lt;setting name="PlugInFolderPath" serializeAs="String"&gt;_x000D_
        &lt;value&gt;C:\Program Files (x86)\Social Media Research Foundation\NodeXL Excel Template\PlugIns&lt;/value&gt;_x000D_
      &lt;/setting&gt;_x000D_
    &lt;/PlugInUserSettings&gt;_x000D_
    &lt;ExportToNodeXLGraphGalleryUserSettings&gt;_x000D_
      &lt;setting name="SpaceDelimitedTags" serializeAs="String"&gt;_x000D_
        &lt;value&gt;Connected Action Your Link to Social Network Insights&lt;/value&gt;_x000D_
      &lt;/setting&gt;_x000D_
      &lt;setting name="Description" serializeAs=</t>
  </si>
  <si>
    <t>Workbook Settings 2</t>
  </si>
  <si>
    <t xml:space="preserve">"String"&gt;_x000D_
        &lt;value&gt;The graph represents a network of 457 Twitter users whose recent tweets contained "strataconf", taken from a data set limited to a maximum of 1,500 users.  The network was obtained on Friday, 01 March 2013 at 03:14 UTC.  There is an edge for each follows relationship.  There is an edge for each "replies-to" relationship in a tweet.  There is an edge for each "mentions" relationship in a tweet.  There is a self-loop edge for each tweet that is not a "replies-to" or "mentions".  The tweets were made over the 9-hour, 38-minute period from Thursday, 28 February 2013 at 17:26 UTC to Friday, 01 March 2013 at 03:04 UTC._x000D_
_x000D_
The graph is directed._x000D_
_x000D_
The graph's vertices were grouped by cluster using the Clauset-Newman-Moore cluster algorithm._x000D_
_x000D_
The graph was laid out using the Harel-Koren Fast Multiscale layout algorithm._x000D_
_x000D_
The edge colors are based on relationship values.  The edge widths are based on edge weight values.  The edge opacities are based on edge weight values.  The vertex sizes are based on followers values.  The vertex opacities are based on followers values._x000D_
_x000D_
Overall Graph Metrics:_x000D_
Vertices: 457_x000D_
Unique Edges: 6787_x000D_
Edges With Duplicates: 1467_x000D_
Total Edges: 8254_x000D_
Self-Loops: 1029_x000D_
Reciprocated Vertex Pair Ratio: 0.321843532145624_x000D_
Reciprocated Edge Ratio: 0.486961617345444_x000D_
Connected Components: 18_x000D_
Single-Vertex Connected Components: 16_x000D_
Maximum Vertices in a Connected Component: 439_x000D_
Maximum Edges in a Connected Component: 8232_x000D_
Maximum Geodesic Distance (Diameter): 5_x000D_
Average Geodesic Distance: 2.292309_x000D_
Graph Density: 0.03275557602979_x000D_
Modularity: 0.254594_x000D_
NodeXL Version: 1.0.1.234_x000D_
_x000D_
Top 10 Vertices, Ranked by Betweenness Centrality:_x000D_
strataconf_x000D_
timoreilly_x000D_
OReillyMedia_x000D_
acroll_x000D_
peteskomoroch_x000D_
cloudera_x000D_
digiphile_x000D_
katecrawford_x000D_
furrier_x000D_
mgualtieri_x000D_
_x000D_
Top URLs in Tweet in Entire Graph:_x000D_
http://strataconf.com/strata2013/public/content/video/_x000D_
http://strataconf.com/strata2013/public/content/video_x000D_
http://strataconf.com/strata2013/public/schedule/detail/27240_x000D_
http://strataconf.com/strata2013/public/schedule/detail/27321_x000D_
http://strataconf.com/strata2013/public/schedule/detail/28626_x000D_
http://notonlydev.com/docgraph/_x000D_
http://www.youtube.com/watch?v=ZelT_UrisQk&amp;amp;feature=youtu.be_x000D_
http://www.extendedresults.com_x000D_
https://app.discovertext.com/Home/SignupContactTrial_x000D_
http://instagram.com/p/WSHFCcpyEO/_x000D_
_x000D_
Top URLs in Tweet in G1:_x000D_
http://strataconf.com/strata2013/public/schedule/detail/27240_x000D_
http://strataconf.com/strata2013/public/schedule/detail/27321_x000D_
http://strataconf.com/strata2013/public/content/video_x000D_
http://strataconf.com/strata2013/public/schedule/detail/28626_x000D_
http://strataconf.com/strata2013/public/content/video/_x000D_
http://notonlydev.com/docgraph/_x000D_
http://www.youtube.com/watch?v=ZelT_UrisQk&amp;amp;feature=youtu.be_x000D_
https://app.discovertext.com/Home/SignupContactTrial_x000D_
http://gigaom.com/2013/02/28/using-arduinos-to-make-conferences-better/_x000D_
http://strataconf.com/strata2013/public/schedule/detail/27970_x000D_
_x000D_
Top URLs in Tweet in G2:_x000D_
http://www.extendedresults.com_x000D_
http://strataconf.com/strata2013/public/content/video/_x000D_
http://SiliconAngle.com_x000D_
http://www.pushbi.com/_x000D_
http://blogs.vmware.com/vfabric/2013/02/from-the-front-line-of-strataconf-a-vmware-perspective.html_x000D_
http://servicesangle.com/blog/2013/02/28/center-of-value-shifting-from-software-to-data-says-oreilly/_x000D_
http://blog.extendedresults.com/2013/02/28/win-a-microsoft-surface-today/_x000D_
http://www.datanami.com/datanami/2013-02-28/five_interesting_statrups_at_strata.html_x000D_
http://blogs.vmware.com/vfabric/2013/02/from-the-front-line-of-strataconf-a-vmware-perspective.html?utm_source=rss&amp;amp;utm_medium=rss&amp;amp;utm_campaign=from-the-front-line-of-strataconf-a-vmware-perspective_x000D_
http://www.youtube.com/playlist?list=PLenh213llmcYF0pwQm5NjUAINRLrHoELB_x000D_
_x000D_
Top URLs in Tweet in G3:_x000D_
http://strataconf.com/strata2013/public/content/video/_x000D_
http://blogs.technet.com/b/dataplatforminsider/archive/2013/02/28/busting-big-data-adoption-myths-with-halo-4-part-3.aspx_x000D_
http://strataconf.com/strata2013/public/content/video_x000D_
http://strataconf.com/rx2013_x000D_
http://logd.tw.rpi.edu_x000D_
http://instagram.com/p/WSHFCcpyEO/_x000D_
http://strataconf.com/strata2013/public/schedule/detail/27390_x000D_
http://www.slideshare.net/marbienk/13-02-27strataclarioncall169final_x000D_
http://goo.gl/PJ3OC_x000D_
http://eventifier.co/event/strataconf13_x000D_
_x000D_
Top URLs in Tweet in G4:_x000D_
http://strataconf.com/strata2013/public/content/video_x000D_
http://www.forbes.com/sites/bwoo/2013/02/27/a-mind-blowing-big-data-experience-notes-from-strata-2013/_x000D_
http://blogs.vmware.com/vfabric/2013/02/from-the-front-line-of-strataconf-a-vmware-perspective.html?utm_source=dlvr.it&amp;amp;utm_medium=twitter&amp;amp;utm_campaign=from-the-front-line-of-strataconf-a-vmware-perspective_x000D_
http://tweetedtimes.com/#!/timoreilly_x000D_
http://strataconf.com/strata2013/public/content/video/_x000D_
http://www.directrelief.org/2013/02/strata-conference-sparks-new-ideas-using-big-data-good/_x000D_
_x000D_
Top URLs in Tweet in G5:_x000D_
http://instagram.com/p/WSlpWzLCoL/_x000D_
http://instagram.com/p/WSoEc4LCrs/_x000D_
_x000D_
Top URLs in Tweet in G6:_x000D_
http://strataconf.com/strata2013/public/content/video_x000D_
_x000D_
Top Domains in Tweet in Entire Graph:_x000D_
strataconf.com_x000D_
youtube.com_x000D_
extendedresults.com_x000D_
instagram.com_x000D_
siliconangle.com_x000D_
vmware.com_x000D_
notonlydev.com_x000D_
gigaom.com_x000D_
forbes.com_x000D_
mit.edu_x000D_
_x000D_
Top Domains in Tweet in G1:_x000D_
strataconf.com_x000D_
instagram.com_x000D_
youtube.com_x000D_
notonlydev.com_x000D_
gigaom.com_x000D_
mit.edu_x000D_
discovertext.com_x000D_
oreilly.com_x000D_
wikipedia.org_x000D_
slideshare.net_x000D_
_x000D_
Top Domains in Tweet in G2:_x000D_
extendedresults.com_x000D_
strataconf.com_x000D_
siliconangle.com_x000D_
vmware.com_x000D_
pushbi.com_x000D_
youtube.com_x000D_
datanami.com_x000D_
forbes.com_x000D_
instagram.com_x000D_
ow.ly_x000D_
_x000D_
Top Domains in Tweet in G3:_x000D_
strataconf.com_x000D_
youtube.com_x000D_
technet.com_x000D_
co.jp_x000D_
bigdataweek.com_x000D_
lockerz.com_x000D_
forbes.com_x000D_
rpi.edu_x000D_
instagram.com_x000D_
slideshare.net_x000D_
_x000D_
Top Domains in Tweet in G4:_x000D_
strataconf.com_x000D_
forbes.com_x000D_
vmware.com_x000D_
tweetedtimes.com_x000D_
directrelief.org_x000D_
_x000D_
Top Domains in Tweet in G5:_x000D_
instagram.com_x000D_
_x000D_
Top Domains in Tweet in </t>
  </si>
  <si>
    <t>Workbook Settings 3</t>
  </si>
  <si>
    <t>G6:_x000D_
strataconf.com_x000D_
_x000D_
Top Hashtags in Tweet in Entire Graph:_x000D_
strataconf_x000D_
bigdata_x000D_
hadoop_x000D_
bi_x000D_
opendata_x000D_
senselab_x000D_
intel_x000D_
beyondhadoop_x000D_
sap_x000D_
microsoft_x000D_
_x000D_
Top Hashtags in Tweet in G1:_x000D_
strataconf_x000D_
bigdata_x000D_
opendata_x000D_
beyondhadoop_x000D_
senselab_x000D_
dataviz_x000D_
ddj_x000D_
rstats_x000D_
datavis_x000D_
linkedin_x000D_
_x000D_
Top Hashtags in Tweet in G2:_x000D_
strataconf_x000D_
bigdata_x000D_
hadoop_x000D_
bi_x000D_
thecube_x000D_
sap_x000D_
analytics_x000D_
hana_x000D_
intel_x000D_
excel_x000D_
_x000D_
Top Hashtags in Tweet in G3:_x000D_
strataconf_x000D_
bigdata_x000D_
microsoft_x000D_
hadoop_x000D_
intel_x000D_
hbase_x000D_
bdw13_x000D_
edtech_x000D_
stratarx_x000D_
opendata_x000D_
_x000D_
Top Hashtags in Tweet in G4:_x000D_
strataconf_x000D_
역사당_x000D_
바람소리_x000D_
tlot_x000D_
친일파_x000D_
전남오픈마켓_x000D_
mksokbo_x000D_
mtoday_x000D_
위키트리_x000D_
freebradley_x000D_
_x000D_
Top Hashtags in Tweet in G5:_x000D_
strataconf_x000D_
bigdata_x000D_
_x000D_
Top Words in Tweet in Entire Graph:_x000D_
strataconf_x000D_
data_x000D_
big_x000D_
bigdata_x000D_
talk_x000D_
rt_x000D_
great_x000D_
now_x000D_
hadoop_x000D_
design_x000D_
_x000D_
Top Words in Tweet in G1:_x000D_
strataconf_x000D_
data_x000D_
talk_x000D_
design_x000D_
great_x000D_
katecrawford_x000D_
big_x000D_
math_x000D_
social_x000D_
rt_x000D_
_x000D_
Top Words in Tweet in G2:_x000D_
strataconf_x000D_
data_x000D_
bigdata_x000D_
hadoop_x000D_
big_x000D_
booth_x000D_
rt_x000D_
amp_x000D_
analytics_x000D_
more_x000D_
_x000D_
Top Words in Tweet in G3:_x000D_
strataconf_x000D_
data_x000D_
now_x000D_
big_x000D_
bigdata_x000D_
watch_x000D_
talk_x000D_
live_x000D_
hadoop_x000D_
amp_x000D_
_x000D_
Top Words in Tweet in G4:_x000D_
strataconf_x000D_
2_x000D_
strata_x000D_
big_x000D_
data_x000D_
2013_x000D_
today_x000D_
stream_x000D_
vmware_x000D_
상위태그_x000D_
_x000D_
Top Words in Tweet in G5:_x000D_
strataconf_x000D_
bigdata_x000D_
data_x000D_
_x000D_
Top Words in Tweet in G6:_x000D_
2013_x000D_
video_x000D_
stream_x000D_
strata_x000D_
o'reilly_x000D_
conferences_x000D_
_x000D_
Top Word Pairs in Tweet in Entire Graph:_x000D_
big,data_x000D_
check,out_x000D_
data,strataconf_x000D_
santa,clara_x000D_
bwaber,strataconf_x000D_
nathanmarz,strataconf_x000D_
katecrawford,strataconf_x000D_
watch,live_x000D_
bigdata,strataconf_x000D_
strataconf,bigdata_x000D_
_x000D_
Top Word Pairs in Tweet in G1:_x000D_
big,data_x000D_
bwaber,strataconf_x000D_
sam_shah,peteskomoroch_x000D_
nathanmarz,strataconf_x000D_
data,strataconf_x000D_
peteskomoroch,strataconf_x000D_
kncukier,strataconf_x000D_
talk,strataconf_x000D_
check,out_x000D_
wwrob,strataconf_x000D_
_x000D_
Top Word Pairs in Tweet in G2:_x000D_
big,data_x000D_
bi,strataconf_x000D_
check,out_x000D_
strataconf,bigdata_x000D_
thecube,strataconf_x000D_
santa,clara_x000D_
front,line_x000D_
line,strataconf_x000D_
strataconf,vmware_x000D_
vmware,perspective_x000D_
_x000D_
Top Word Pairs in Tweet in G3:_x000D_
big,data_x000D_
watch,live_x000D_
santa,clara_x000D_
bwaber,strataconf_x000D_
now,strataconf_x000D_
strataconf,watch_x000D_
watch,via_x000D_
via,livestream_x000D_
katecrawford,strataconf_x000D_
data,strataconf_x000D_
_x000D_
Top Word Pairs in Tweet in G4:_x000D_
big,data_x000D_
strata,2013_x000D_
상위태그,3시간_x000D_
3시간,1_x000D_
6,전남오픈마켓_x000D_
전남오픈마켓,7_x000D_
11,위키트리_x000D_
_x000D_
Top Word Pairs in Tweet in G5:_x000D_
strataconf,bigdata_x000D_
_x000D_
Top Word Pairs in Tweet in G6:_x000D_
video,stream_x000D_
stream,strata_x000D_
strata,2013_x000D_
2013,o'reilly_x000D_
o'reilly,conferences_x000D_
_x000D_
Top Replied-To in Entire Graph:_x000D_
nadavaha_x000D_
strataconf_x000D_
wwrob_x000D_
katecrawford_x000D_
noahi_x000D_
nathanmarz_x000D_
restdevices_x000D_
jsteeleeditor_x000D_
aheineike_x000D_
bwaber_x000D_
_x000D_
Top Replied-To in G1:_x000D_
nadavaha_x000D_
katecrawford_x000D_
noahi_x000D_
restdevices_x000D_
jsteeleeditor_x000D_
aheineike_x000D_
wwrob_x000D_
nathanmarz_x000D_
acroll_x000D_
dtunkelang_x000D_
_x000D_
Top Replied-To in G2:_x000D_
strataconf_x000D_
teradata_x000D_
nathanmarz_x000D_
katecrawford_x000D_
pros_x000D_
jameskobielus_x000D_
pentaho_x000D_
ds_henry_x000D_
brunoaziza_x000D_
microsoft_x000D_
_x000D_
Top Replied-To in G3:_x000D_
strataconf_x000D_
wwrob_x000D_
bwaber_x000D_
pacoid_x000D_
datanami_x000D_
sqlserver_x000D_
markmadsen_x000D_
sashasud_x000D_
pecanstreetinc_x000D_
runduck22_x000D_
_x000D_
Top Mentioned in Entire Graph:_x000D_
strataconf_x000D_
katecrawford_x000D_
nathanmarz_x000D_
bwaber_x000D_
kncukier_x000D_
peteskomoroch_x000D_
sam_shah_x000D_
mrogati_x000D_
noahi_x000D_
omgannaks_x000D_
_x000D_
Top Mentioned in G1:_x000D_
katecrawford_x000D_
nathanmarz_x000D_
kncukier_x000D_
sam_shah_x000D_
peteskomoroch_x000D_
bwaber_x000D_
strataconf_x000D_
mrogati_x000D_
noahi_x000D_
lndata_x000D_
_x000D_
Top Mentioned in G2:_x000D_
strataconf_x000D_
nathanmarz_x000D_
hortonworks_x000D_
katecrawford_x000D_
oreillymedia_x000D_
asterdata_x000D_
furrier_x000D_
twitter_x000D_
sisense_x000D_
cloudera_x000D_
_x000D_
Top Mentioned in G3:_x000D_
strataconf_x000D_
katecrawford_x000D_
nathanmarz_x000D_
bwaber_x000D_
pecanstreetinc_x000D_
pkpatel_x000D_
jdegoes_x000D_
jahendler_x000D_
omgannaks_x000D_
datastax_x000D_
_x000D_
Top Mentioned in G4:_x000D_
forbes_x000D_
sqlserver_x000D_
bradleytbauer_x000D_
lemintheworld_x000D_
_x000D_
Top Mentioned in G6:_x000D_
innatur_ua_x000D_
unimooc_x000D_
frangarciaw_x000D_
_x000D_
Top Tweeters in Entire Graph:_x000D_
YourMomBot_x000D_
datachick_x000D_
BillNigh_x000D_
econwriter5_x000D_
rwang0_x000D_
digiphile_x000D_
issuenow_x000D_
LusciousPear_x000D_
hrbrmstr_x000D_
jameskobielus_x000D_
_x000D_
Top Tweeters in G1:_x000D_
datachick_x000D_
digiphile_x000D_
LusciousPear_x000D_
hrbrmstr_x000D_
cbgreenwood_x000D_
fcoel_x000D_
jbenno_x000D_
rjurney_x000D_
timoreilly_x000D_
venessapaech_x000D_
_x000D_
Top Tweeters in G2:_x000D_
BillNigh_x000D_
rwang0_x000D_
jameskobielus_x000D_
sogrady_x000D_
rizzn_x000D_
PlanetV12n_x000D_
jenstirrup_x000D_
furrier_x000D_
quitada_x000D_
SiliconANGLE_x000D_
_x000D_
Top Tweeters in G3:_x000D_
YourMomBot_x000D_
econwriter5_x000D_
akihito_x000D_
swardley_x000D_
EEPaul_x000D_
Dorothysjobs_x000D_
KoprowskiT_x000D_
thomjeff_x000D_
MSFTnews_x000D_
CRN_x000D_
_x000D_
Top Tweeters in G4:_x000D_
issuenow_x000D_
xinity_bot_x000D_
3way2betterbiz_x000D_
A_Neutron_x000D_
lisa_hoang_x000D_
robx_s_x000D_
DirectRelief_x000D_
Anon13502_x000D_
lisalc9_x000D_
TechPAScode_x000D_
_x000D_
Top Tweeters in G5:_x000D_
MiraVeda_x000D_
LipstiknPolitks_x000D_
_x000D_
Top Tweeters in G6:_x000D_
innatur_ua_x000D_
FranGarciaW&lt;/value&gt;_x000D_
      &lt;/setting&gt;_x000D_
      &lt;setting name="ExportGraphML" serializeAs="String"&gt;_x000D_
        &lt;value&gt;True&lt;/value&gt;_x000D_
      &lt;/setting&gt;_x000D_
      &lt;setting name="Title" serializeAs="String"&gt;_x000D_
        &lt;value&gt;strataconf Twitter NodeXL SNA Map and Report for Friday, 01 March 2013 at 03:14 UTC&lt;/value&gt;_x000D_
      &lt;/setting&gt;_x000D_
      &lt;setting name="Author" serializeAs="String"&gt;_x000D_
        &lt;value&gt;NodeXLExcelAutomator&lt;/value&gt;_x000D_
      &lt;/setting&gt;_x000D_
      &lt;setting name="UseFixedAspectRatio" serializeAs="String"&gt;_x000D_
        &lt;value&gt;True&lt;/value&gt;_x000D_
      &lt;/setting&gt;_x000D_
      &lt;setting name="UseCredentials" serializeAs="String"&gt;_x000D_
        &lt;value&gt;True&lt;/value&gt;_x000D_
      &lt;/setting&gt;_x000D_
      &lt;setting name="ExportWorkbookAndSettings" serializeAs="String"&gt;_x000D_
        &lt;value&gt;True&lt;/value&gt;_x000D_
      &lt;/setting&gt;_x000D_
    &lt;/ExportToNodeXLGraphGalleryUserSettings&gt;_x000D_
    &lt;ExportToEmailUserSettings&gt;_x000D_
      &lt;setting name="SmtpPort" serializeAs="String"&gt;_x000D_
        &lt;value&gt;26&lt;/value&gt;_x000D_
      &lt;/setting&gt;_x000D_
      &lt;setting name="FromAddress" serializeAs="String"&gt;_x000D_
        &lt;value&gt;NodeXL-Reports@connectedaction.net&lt;/value&gt;_x000D_
      &lt;/setting&gt;_x000D_
      &lt;setting name="ExportGraphML" serializeAs="String"&gt;_x000D_
        &lt;value&gt;False&lt;/value&gt;_x000D_
      &lt;/setting&gt;_x000D_
      &lt;setting name="SmtpHost" serializeAs="String"&gt;_x000D_
        &lt;value&gt;mail.connectedaction.net&lt;/value&gt;_x000D_
      &lt;/setting&gt;_x000D_
      &lt;setting name="ExportWorkbookAndSettings" serializeAs="String"&gt;_x000D_
        &lt;value&gt;True&lt;/value&gt;_x000D_
      &lt;/setting&gt;_x000D_
      &lt;setting name="UseFixedAspectRatio" serializeAs="String"&gt;_x000D_
        &lt;value&gt;True&lt;/value&gt;_x000D_
      &lt;/setting&gt;_x000D_
      &lt;setting name="UseSslForSmtp" serializeAs="String"&gt;_x000D_
        &lt;v</t>
  </si>
  <si>
    <t>Workbook Settings 4</t>
  </si>
  <si>
    <t>alue&gt;False&lt;/value&gt;_x000D_
      &lt;/setting&gt;_x000D_
      &lt;setting name="SmtpUserName" serializeAs="String"&gt;_x000D_
        &lt;value&gt;NodeXL-Reports@connectedaction.net&lt;/value&gt;_x000D_
      &lt;/setting&gt;_x000D_
      &lt;setting name="SpaceDelimitedToAddresses" serializeAs="String"&gt;_x000D_
        &lt;value&gt;vanes@lared.nl NodeXL-Reports@connectedaction.net&lt;/value&gt;_x000D_
      &lt;/setting&gt;_x000D_
      &lt;setting name="MessageBody" serializeAs="String"&gt;_x000D_
        &lt;value&gt;&amp;lt;a href="http://www.connectedaction.net"&amp;gt;&amp;lt;img src="http://www.connectedaction.net/wp-content/uploads/2009/11/2009-Connected-Action-Logo.png" alt="" width="150" height="115"/&amp;gt;&amp;lt;/a&amp;gt;_x000D_
_x000D_
Here is your &amp;lt;a href="http://nodexl.codeplex.com"&amp;gt;NodeXL&amp;lt;/a&amp;gt; &amp;lt;b&amp;gt;&amp;lt;i&amp;gt;Social Media Network Map and Report&amp;lt;/b&amp;gt;&amp;lt;/i&amp;gt; from &amp;lt;a href="http://www.connectedaction.net"&amp;gt;Connected Action&amp;lt;/a&amp;gt;._x000D_
    _x000D_
{Graph Image}_x000D_
    _x000D_
{Graph Summary}_x000D_
    _x000D_
 &amp;lt;a href="http://nodexl.codeplex.com"&amp;gt;NodeXL on the web&amp;lt;/a&amp;gt;  | Social Media Network Map and Report from &amp;lt;a href="http://www.connectedaction.net"&amp;gt;Connected Action&amp;lt;/a&amp;gt;._x000D_
&amp;lt;a mailto="NodeXL-Reports@connectedaction.net"&amp;gt;Request additional NodeXL Social Media Maps and Reports&amp;lt;/a&amp;gt;&lt;/value&gt;_x000D_
      &lt;/setting&gt;_x000D_
      &lt;setting name="Subject" serializeAs="String"&gt;_x000D_
        &lt;value&gt;HPV and Vacine Twitter NodeXL SNA Map and Report for November 26, 2012&lt;/value&gt;_x000D_
      &lt;/setting&gt;_x000D_
    &lt;/ExportToEmailUserSettings&gt;_x000D_
    &lt;ImportDataUserSettings&gt;_x000D_
      &lt;setting name="SaveImportDescription" serializeAs="String"&gt;_x000D_
        &lt;value&gt;True&lt;/value&gt;_x000D_
      &lt;/setting&gt;_x000D_
      &lt;setting name="ClearTablesBeforeImport" serializeAs="String"&gt;_x000D_
        &lt;value&gt;True&lt;/value&gt;_x000D_
      &lt;/setting&gt;_x000D_
      &lt;setting name="AutomateAfterImport" serializeAs="String"&gt;_x000D_
        &lt;value&gt;False&lt;/value&gt;_x000D_
      &lt;/setting&gt;_x000D_
    &lt;/ImportDataUserSettings&gt;_x000D_
    &lt;ClusterUserSettings&gt;_x000D_
      &lt;setting name="ClusterAlgorithm" serializeAs="String"&gt;_x000D_
        &lt;value&gt;ClausetNewmanMoore&lt;/value&gt;_x000D_
      &lt;/setting&gt;_x000D_
      &lt;setting name="PutNeighborlessVerticesInOneCluster" serializeAs="String"&gt;_x000D_
        &lt;value&gt;True&lt;/value&gt;_x000D_
      &lt;/setting&gt;_x000D_
    &lt;/ClusterUserSettings&gt;_x000D_
    &lt;ColumnGroupUserSettings&gt;_x000D_
      &lt;setting name="ColumnGroupsToShow" serializeAs="String"&gt;_x000D_
        &lt;value&gt;EdgeDoNotHide, EdgeGraphMetrics, EdgeOtherColumns, VertexDoNotHide, VertexGraphMetrics, VertexOtherColumns, GroupDoNotHide, GroupGraphMetrics, GroupOtherColumns, GroupEdgeGraphMetrics&lt;/value&gt;_x000D_
      &lt;/setting&gt;_x000D_
    &lt;/ColumnGroupUserSettings&gt;_x000D_
    &lt;GroupUserSettings&gt;_x000D_
      &lt;setting name="ReadGroups" serializeAs="String"&gt;_x000D_
        &lt;value&gt;True&lt;/value&gt;_x000D_
      &lt;/setting&gt;_x000D_
      &lt;setting name="ReadVertexShapeFromGroups" serializeAs="String"&gt;_x000D_
        &lt;value&gt;False&lt;/value&gt;_x000D_
      &lt;/setting&gt;_x000D_
      &lt;setting name="ReadVertexColorFromGroups" serializeAs="String"&gt;_x000D_
        &lt;value&gt;True&lt;/value&gt;_x000D_
      &lt;/setting&gt;_x000D_
    &lt;/GroupUserSettings&gt;_x000D_
    &lt;AutomatedGraphImageUserSettings&gt;_x000D_
      &lt;setting name="ImageFormat" serializeAs="String"&gt;_x000D_
        &lt;value&gt;Png&lt;/value&gt;_x000D_
      &lt;/setting&gt;_x000D_
      &lt;setting name="IncludeFooter" serializeAs="String"&gt;_x000D_
        &lt;value&gt;True&lt;/value&gt;_x000D_
      &lt;/setting&gt;_x000D_
      &lt;setting name="HeaderText" serializeAs="String"&gt;_x000D_
        &lt;value&gt;Social media network map of connections among Twitter Users&lt;/value&gt;_x000D_
      &lt;/setting&gt;_x000D_
      &lt;setting name="FooterText" serializeAs="String"&gt;_x000D_
        &lt;value&gt;Created with NodeXL (http://nodexl.codeplex.com) from the Social Media Research Foundation (http://www.smrfoundation.org)&lt;/value&gt;_x000D_
      &lt;/setting&gt;_x000D_
      &lt;setting name="HeaderFooterFont" serializeAs="String"&gt;_x000D_
        &lt;value&gt;Microsoft Sans Serif, 14.25pt&lt;/value&gt;_x000D_
      &lt;/setting&gt;_x000D_
      &lt;setting name="IncludeHeader" serializeAs="String"&gt;_x000D_
        &lt;value&gt;True&lt;/value&gt;_x000D_
      &lt;/setting&gt;_x000D_
      &lt;setting name="ImageSizePx" serializeAs="String"&gt;_x000D_
        &lt;value&gt;4096, 3072&lt;/value&gt;_x000D_
      &lt;/setting&gt;_x000D_
    &lt;/AutomatedGraphImageUserSettings&gt;_x000D_
    &lt;GraphMetricUserSettings&gt;_x000D_
      &lt;setting name="GraphMetricsToCalculate" serializeAs="String"&gt;_x000D_
        &lt;value&gt;InDegree, OutDegree, Degree, ClusteringCoefficient, BrandesFastCentralities, EigenvectorCentrality, PageRank, OverallMetrics, GroupMetrics, EdgeReciprocation, TopNBy, TwitterSearchNetworkTopItems, Words, ReciprocatedVertexPairRatio&lt;/value&gt;_x000D_
      &lt;/setting&gt;_x000D_
      &lt;setting name="TopNByMetricsToCalculate" serializeAs="Xml"&gt;_x000D_
        &lt;value&gt;_x000D_
          &lt;ArrayOfTopNByMetricUserSettings xmlns:xsi="http://www.w3.org/2001/XMLSchema-instance" xmlns:xsd="http://www.w3.org/2001/XMLSchema"&gt;_x000D_
            &lt;TopNByMetricUserSettings&gt;_x000D_
              &lt;N&gt;10&lt;/N&gt;_x000D_
              &lt;WorksheetName&gt;Vertices&lt;/WorksheetName&gt;_x000D_
              &lt;TableName&gt;Vertices&lt;/TableName&gt;_x000D_
              &lt;RankedColumnName&gt;Betweenness Centrality&lt;/RankedColumnName&gt;_x000D_
              &lt;ItemNameColumnName&gt;Vertex&lt;/ItemNameColumnName&gt;_x000D_
            &lt;/TopNByMetricUserSettings&gt;_x000D_
          &lt;/ArrayOfTopNByMetricUserSettings&gt;_x000D_
        &lt;/value&gt;_x000D_
      &lt;/setting&gt;_x000D_
      &lt;setting name="WordPairMetricUserSettings" serializeAs="String"&gt;_x000D_
        &lt;value&gt;TextColumnIsOnEdgeWorksheet░True▓TextColumnName░Tweet▓CountByGroup░True▓SkipSinglePairs░True▓WordsToSkip░a able about across after ain't all almost also am among an and any are aren't as at be because been but by can can't cannot could could've couldn't did didn't do does doesn't don't either else ever every for from get got had has hasn't have he he'd he'll he's her hers him his how how'd how'll how's however i i'd i'll i'm i've if in into is isn't it it's its just least let like likely may me might might've most must must've mustn't my neither no nor not of off often on only or other our own rather said say says she she'd she'll she's should should've shouldn't since so some than that that'll that's the their them then there there's these they they'd they'll they're they've this to too us wants was wasn't we we'd we'll we're were weren't what what's when where where'd where'll where's which while who who'd who'll who's whom why why'd will with won't would would've wouldn't</t>
  </si>
  <si>
    <t>Workbook Settings 5</t>
  </si>
  <si>
    <t xml:space="preserve"> yet you you'd you'll you're you've your&lt;/value&gt;_x000D_
      &lt;/setting&gt;_x000D_
      &lt;setting name="WordMetricUserSettings" serializeAs="String"&gt;_x000D_
        &lt;value&gt;TextColumnIsOnEdgeWorksheet░True▓TextColumnName░Tweet▓CountByGroup░True▓SkipSingleTerms░True▓WordsToSkip░a able about across after ain't all almost also am among amp an and any are aren't as at be because been but by can can't cannot could could've couldn't did didn't do does doesn't don't either else ever every for from get got had has hasn't have he he'd he'll he's her hers him his how how'd how'll how's however i i'd i'll i'm i've if in into is isn't it it's its just least let like likely may me might might've most must must've mustn't my neither no nor not of off often on only or other our own rather rt said say says she she'd she'll she's should should've shouldn't since so some than that that'll that's the their them then there there's these they they'd they'll they're they've this to too us wants was wasn't we we'd we'll we're were weren't what what's when where where'd where'll where's which while who who'd who'll who's whom why why'd will with won't would would've wouldn't yet you you'd you'll you're you've your rt via_x000D_
der_x000D_
die_x000D_
auf_x000D_
und_x000D_
ist_x000D_
mit_x000D_
von_x000D_
das_x000D_
für_x000D_
jetzt_x000D_
ich_x000D_
nicht_x000D_
auch_x000D_
es_x000D_
zu_x000D_
ein_x000D_
um_x000D_
im_x000D_
wir_x000D_
den_x000D_
du_x000D_
bei_x000D_
über_x000D_
wie_x000D_
uhr_x000D_
de _x000D_
het _x000D_
een_x000D_
en _x000D_
of_x000D_
que_x000D_
la_x000D_
y_x000D_
el_x000D_
por_x000D_
se_x000D_
los_x000D_
lo_x000D_
vamos_x000D_
mi_x000D_
para_x000D_
un_x000D_
con_x000D_
si_x000D_
pero_x000D_
las_x000D_
todos_x000D_
ya_x000D_
puede_x000D_
yo_x000D_
esta_x000D_
al_x000D_
su_x000D_
una_x000D_
mas_x000D_
te_x000D_
eso_x000D_
como_x000D_
grande_x000D_
hay_x000D_
del_x000D_
o_x000D_
este_x000D_
le_x000D_
todo_x000D_
bien_x000D_
ver_x000D_
muy_x000D_
tiene_x000D_
son_x000D_
asi_x000D_
siempre_x000D_
nada_x000D_
pais_x000D_
bueno_x000D_
cambio_x000D_
sin_x000D_
cuca_x000D_
creo_x000D_
somos_x000D_
ser_x000D_
sea▓SentimentList1Name░Positive▓SentimentList2Name░Negative▓SentimentList3Name░Angry/Violent▓SentimentWordsInList1░a+ abound abounds abundance abundant accessable accessible acclaim acclaimed acclamation accolade accolades accommodative accomodative accomplish accomplished accomplishment accomplishments accurate accurately achievable achievement achievements achievible acumen adaptable adaptive adequate adjustable admirable admirably admiration admire admirer admiring admiringly adorable adore adored adorer adoring adoringly adroit adroitly adulate adulation adulatory advanced advantage advantageous advantageously advantages adventuresome adventurous advocate advocated advocates affability affable affably affectation affection affectionate affinity affirm affirmation affirmative affluence affluent afford affordable affordably afordable agile agilely agility agreeable agreeableness agreeably all-around alluring alluringly altruistic altruistically amaze amazed amazement amazes amazing amazingly ambitious ambitiously ameliorate amenable amenity amiability amiabily amiable amicability amicable amicably amity ample amply amuse amusing amusingly angel angelic apotheosis appeal appealing applaud appreciable appreciate appreciated appreciates appreciative appreciatively appropriate approval approve ardent ardently ardor articulate aspiration aspirations aspire assurance assurances assure assuredly assuring astonish astonished astonishing astonishingly astonishment astound astounded astounding astoundingly astutely attentive attraction attractive attractively attune audible audibly auspicious authentic authoritative autonomous available aver avid avidly award awarded awards awe awed awesome awesomely awesomeness awestruck awsome backbone balanced bargain beauteous beautiful beautifullly beautifully beautify beauty beckon beckoned beckoning beckons believable believeable beloved benefactor beneficent beneficial beneficially beneficiary benefit benefits benevolence benevolent benifits best best-known best-performing best-selling better better-known better-than-expected beutifully blameless bless blessing bliss blissful blissfully blithe blockbuster bloom blossom bolster bonny bonus bonuses boom booming boost boundless bountiful brainiest brainy brand-new brave bravery bravo breakthrough breakthroughs breathlessness breathtaking breathtakingly breeze bright brighten brighter brightest brilliance brilliances brilliant brilliantly brisk brotherly bullish buoyant cajole calm calming calmness capability capable capably captivate captivating carefree cashback cashbacks catchy celebrate celebrated celebration celebratory champ champion charisma charismatic charitable charm charming charmingly chaste cheaper cheapest cheer cheerful cheery cherish cherished cherub chic chivalrous chivalry civility civilize clarity classic classy clean cleaner cleanest cleanliness cleanly clear clear-cut cleared clearer clearly clears clever cleverly cohere coherence coherent cohesive colorful comely comfort comfortable comfortably comforting comfy commend commendable commendably commitment commodious compact compactly compassion compassionate compatible competitive complement complementary complemented complements compliant compliment complimentary comprehensive conciliate conciliatory concise confidence confident congenial congratulate congratulation congratulations congratulatory conscientious considerate consistent consistently constructive consummate contentment continuity contrasty contribution convenience convenient conveniently convience convienient convient convincing convincingly cool coolest cooperative cooperatively cornerstone correct correctly cost-effective cost-saving counter-attack counter-attacks courage courageous courageously courageousness courteous courtly covenant cozy creative credence credible crisp crisper cure cure-all cushy cute cuteness danke danken daring daringly darling dashing dauntless dawn dazzle dazzled dazzling dead-cheap dead-on decency decent decisive decisiveness dedicated defeat defeated defeating defeats defender deference deft deginified delectable delicacy delicate delicious delight delighted delightful delightfully delightfulness dependable dependably deservedly deserving desirable desiring desirous destiny detachable devout dexterous dexterously dextrous dignified dignify dignity diligence di</t>
  </si>
  <si>
    <t>Workbook Settings 6</t>
  </si>
  <si>
    <t>ligent diligently diplomatic dirt-cheap distinction distinctive distinguished diversified divine divinely dominate dominated dominates dote dotingly doubtless dreamland dumbfounded dumbfounding dummy-proof durable dynamic eager eagerly eagerness earnest earnestly earnestness ease eased eases easier easiest easiness easing easy easy-to-use easygoing ebullience ebullient ebulliently ecenomical economical ecstasies ecstasy ecstatic ecstatically edify educated effective effectively effectiveness effectual efficacious efficient efficiently effortless effortlessly effusion effusive effusively effusiveness elan elate elated elatedly elation electrify elegance elegant elegantly elevate elite eloquence eloquent eloquently embolden eminence eminent empathize empathy empower empowerment enchant enchanted enchanting enchantingly encourage encouragement encouraging encouragingly endear endearing endorse endorsed endorsement endorses endorsing energetic energize energy-efficient energy-saving engaging engrossing enhance enhanced enhancement enhances enjoy enjoyable enjoyably enjoyed enjoying enjoyment enjoys enlighten enlightenment enliven ennoble enough enrapt enrapture enraptured enrich enrichment enterprising entertain entertaining entertains enthral enthrall enthralled enthuse enthusiasm enthusiast enthusiastic enthusiastically entice enticed enticing enticingly entranced entrancing entrust enviable enviably envious enviously enviousness envy equitable ergonomical err-free erudite ethical eulogize euphoria euphoric euphorically evaluative evenly eventful everlasting evocative exalt exaltation exalted exaltedly exalting exaltingly examplar examplary excallent exceed exceeded exceeding exceedingly exceeds excel exceled excelent excellant excelled excellence excellency excellent excellently excels exceptional exceptionally excite excited excitedly excitedness excitement excites exciting excitingly exellent exemplar exemplary exhilarate exhilarating exhilaratingly exhilaration exonerate expansive expeditiously expertly exquisite exquisitely extol extoll extraordinarily extraordinary exuberance exuberant exuberantly exult exultant exultation exultingly eye-catch eye-catching eyecatch eyecatching fabulous fabulously facilitate fair fairly fairness faith faithful faithfully faithfulness fame famed famous famously fancier fancinating fancy fanfare fans fantastic fantastically fascinate fascinating fascinatingly fascination fashionable fashionably fast fast-growing fast-paced faster fastest fastest-growing faultless fav fave favor favorable favored favorite favorited favour fearless fearlessly feasible feasibly feat feature-rich fecilitous feisty felicitate felicitous felicity fertile fervent fervently fervid fervidly fervor festive fidelity fiery fine fine-looking finely finer finest firmer first-class first-in-class first-rate flashy flatter flattering flatteringly flawless flawlessly flexibility flexible flourish flourishing fluent flutter fond fondly fondness foolproof foremost foresight formidable fortitude fortuitous fortuitously fortunate fortunately fortune fragrant free freed freedom freedoms fresh fresher freshest friendliness friendly frolic frugal fruitful ftw fulfillment fun futurestic futuristic gaiety gaily gain gained gainful gainfully gaining gains gallant gallantly galore geekier geeky gem gems generosity generous generously genial genius gentle gentlest genuine gifted glad gladden gladly gladness glamorous glee gleeful gleefully glimmer glimmering glisten glistening glitter glitz glorify glorious gloriously glory glow glowing glowingly god-given god-send godlike godsend gold golden good goodly goodness goodwill goood gooood gorgeous gorgeously grace graceful gracefully gracious graciously graciousness grand grandeur grateful gratefully gratification gratified gratifies gratify gratifying gratifyingly gratitude great greatest greatness grin groundbreaking guarantee guidance guiltless gumption gush gusto gutsy hail halcyon hale hallmark hallmarks hallowed handier handily hands-down handsome handsomely handy happier happily happiness happy hard-working hardier hardy harmless harmonious harmoniously harmonize harmony headway heal healthful healthy hearten heartening heartfelt heartily heartwarming heaven heavenly helped helpful helping hero heroic heroically heroine heroize heros high-quality high-spirited hilarious holy homage honest honesty honor honorable honored honoring hooray hopeful hospitable hot hotcake hotcakes hottest hug humane humble humility humor humorous humorously humour humourous ideal idealize ideally idol idolize idolized idyllic illuminate illuminati illuminating illumine illustrious ilu imaculate imaginative immaculate immaculately immense impartial impartiality impartially impassioned impeccable impeccably important impress impressed impresses impressive impressively impressiveness improve improved improvement improvements improves improving incredible incredibly indebted individualized indulgence indulgent industrious inestimable inestimably inexpensive infallibility infallible infallibly influential ingenious ingeniously ingenuity ingenuous ingenuously innocuous innovation innovative inpressed insightful insightfully inspiration inspirational inspire inspiring instantly instructive instrumental integral integrated intelligence intelligent intelligible interesting interests intimacy intimate intricate intrigue intriguing intriguingly intuitive invaluable invaluablely inventive invigorate invigorating invincibility invincible inviolable inviolate invulnerable irreplaceable irreproachable irresistible irresistibly issue-free jaw-droping jaw-dropping jollify jolly jovial joy joyful joyfully joyous joyously jubilant jubilantly jubilate jubilation jubiliant judicious justly keen keenly keenness kid-friendly kindliness kindly kindness knowledgeable kudos large-capacity laud laudable laudably lavish lavishly law-abiding lawful lawfully lead leading leads lean led legendary l</t>
  </si>
  <si>
    <t>Workbook Settings 7</t>
  </si>
  <si>
    <t>everage levity liberate liberation liberty lifesaver light-hearted lighter likable like liked likes liking lionhearted lively logical long-lasting lovable lovably love loved loveliness lovely lover loves loving low-cost low-price low-priced low-risk lower-priced loyal loyalty lucid lucidly luck luckier luckiest luckiness lucky lucrative luminous lush luster lustrous luxuriant luxuriate luxurious luxuriously luxury lyrical magic magical magnanimous magnanimously magnificence magnificent magnificently majestic majesty manageable maneuverable marvel marveled marvelled marvellous marvelous marvelously marvelousness marvels master masterful masterfully masterpiece masterpieces masters mastery matchless mature maturely maturity meaningful memorable merciful mercifully mercy merit meritorious merrily merriment merriness merry mesmerize mesmerized mesmerizes mesmerizing mesmerizingly meticulous meticulously mightily mighty mind-blowing miracle miracles miraculous miraculously miraculousness modern modest modesty momentous monumental monumentally morality motivated multi-purpose navigable neat neatest neatly nice nicely nicer nicest nifty nimble noble nobly noiseless non-violence non-violent notably noteworthy nourish nourishing nourishment novelty nurturing oasis obsession obsessions obtainable openly openness optimal optimism optimistic opulent orderly originality outdo outdone outperform outperformed outperforming outperforms outshine outshone outsmart outstanding outstandingly outstrip outwit ovation overjoyed overtake overtaken overtakes overtaking overtook overture pain-free painless painlessly palatial pamper pampered pamperedly pamperedness pampers panoramic paradise paramount pardon passion passionate passionately patience patient patiently patriot patriotic peace peaceable peaceful peacefully peacekeepers peach peerless pep pepped pepping peppy peps perfect perfection perfectly permissible perseverance persevere personages personalized phenomenal phenomenally picturesque piety pinnacle playful playfully pleasant pleasantly pleased pleases pleasing pleasingly pleasurable pleasurably pleasure plentiful pluses plush plusses poetic poeticize poignant poise poised polished polite politeness popular portable posh positive positively positives powerful powerfully praise praiseworthy praising pre-eminent precious precise precisely preeminent prefer preferable preferably prefered preferes preferring prefers premier prestige prestigious prettily pretty priceless pride principled privilege privileged prize proactive problem-free problem-solver prodigious prodigiously prodigy productive productively proficient proficiently profound profoundly profuse profusion progress progressive prolific prominence prominent promise promised promises promising promoter prompt promptly proper properly propitious propitiously pros prosper prosperity prosperous prospros protect protection protective proud proven proves providence proving prowess prudence prudent prudently punctual pure purify purposeful quaint qualified qualify quicker quiet quieter radiance radiant rapid rapport rapt rapture raptureous raptureously rapturous rapturously rational razor-sharp reachable readable readily ready reaffirm reaffirmation realistic realizable reasonable reasonably reasoned reassurance reassure receptive reclaim recomend recommend recommendation recommendations recommended reconcile reconciliation record-setting recover recovery rectification rectify rectifying redeem redeeming redemption refine refined refinement reform reformed reforming reforms refresh refreshed refreshing refund refunded regal regally regard rejoice rejoicing rejoicingly rejuvenate rejuvenated rejuvenating relaxed relent reliable reliably relief relish remarkable remarkably remedy remission remunerate renaissance renewed renown renowned replaceable reputable reputation resilient resolute resound resounding resourceful resourcefulness respect respectable respectful respectfully respite resplendent responsibly responsive restful restored restructure restructured restructuring retractable revel revelation revere reverence reverent reverently revitalize revival revive revives revolutionary revolutionize revolutionized revolutionizes reward rewarding rewardingly rich richer richly richness right righten righteous righteously righteousness rightful rightfully rightly rightness risk-free robust rock-star rock-stars rockstar rockstars romantic romantically romanticize roomier roomy rosy safe safely sagacity sagely saint saintliness saintly salutary salute sane satisfactorily satisfactory satisfied satisfies satisfy satisfying satisified saver savings savior savvy scenic seamless seasoned secure securely selective self-determination self-respect self-satisfaction self-sufficiency self-sufficient sensation sensational sensationally sensations sensible sensibly sensitive serene serenity sexy sharp sharper sharpest shimmering shimmeringly shine shiny significant silent simpler simplest simplified simplifies simplify simplifying sincere sincerely sincerity skill skilled skillful skillfully slammin sleek slick smart smarter smartest smartly smile smiles smiling smilingly smitten smooth smoother smoothes smoothest smoothly snappy snazzy sociable soft softer solace solicitous solicitously solid solidarity soothe soothingly sophisticated soulful soundly soundness spacious sparkle sparkling spectacular spectacularly speedily speedy spellbind spellbinding spellbindingly spellbound spirited spiritual splendid splendidly splendor spontaneous sporty spotless sprightly stability stabilize stable stainless standout state-of-the-art stately statuesque staunch staunchly staunchness steadfast steadfastly steadfastness steadiest steadiness steady stellar stellarly stimulate stimulates stimulating stimulative stirringly straighten straightforward streamlined striking strikingly striving strong stronger strongest stunned stunning stunningly stupendous stupendously sturdier sturdy styl</t>
  </si>
  <si>
    <t>Workbook Settings 8</t>
  </si>
  <si>
    <t>ish stylishly stylized suave suavely sublime subsidize subsidized subsidizes subsidizing substantive succeed succeeded succeeding succeeds succes success successes successful successfully suffice sufficed suffices sufficient sufficiently suitable sumptuous sumptuously sumptuousness super superb superbly superior superiority supple support supported supporter supporting supportive supports supremacy supreme supremely supurb supurbly surmount surpass surreal survival survivor sustainability sustainable swank swankier swankiest swanky sweeping sweet sweeten sweetheart sweetly sweetness swift swiftness talent talented talents tantalize tantalizing tantalizingly tempt tempting temptingly tenacious tenaciously tenacity tender tenderly terrific terrifically thank thankful thinner thoughtful thoughtfully thoughtfulness thrift thrifty thrill thrilled thrilling thrillingly thrills thrive thriving thumb-up thumbs-up tickle tidy time-honored timely tingle titillate titillating titillatingly togetherness tolerable toll-free top top-notch top-quality topnotch tops tough tougher toughest traction tranquil tranquility transparent treasure tremendously trendy triumph triumphal triumphant triumphantly trivially trophy trouble-free trump trumpet trust trusted trusting trustingly trustworthiness trustworthy trusty truthful truthfully truthfulness twinkly ultra-crisp unabashed unabashedly unaffected unassailable unbeatable unbiased unbound uncomplicated unconditional undamaged undaunted understandable undisputable undisputably undisputed unencumbered unequivocal unequivocally unfazed unfettered unforgettable unity unlimited unmatched unparalleled unquestionable unquestionably unreal unrestricted unrivaled unselfish unwavering upbeat upgradable upgradeable upgraded upheld uphold uplift uplifting upliftingly upliftment upscale usable useable useful user-friendly user-replaceable valiant valiantly valor valuable variety venerate verifiable veritable versatile versatility vibrant vibrantly victorious victory viewable vigilance vigilant virtue virtuous virtuously visionary vivacious vivid vouch vouchsafe warm warmer warmhearted warmly warmth wealthy welcome well well-backlit well-balanced well-behaved well-being well-bred well-connected well-educated well-established well-informed well-intentioned well-known well-made well-managed well-mannered well-positioned well-received well-regarded well-rounded well-run well-wishers wellbeing whoa wholeheartedly wholesome whooa whoooa wieldy willing willingly willingness win windfall winnable winner winners winning wins wisdom wise wisely witty won wonder wonderful wonderfully wonderous wonderously wonders wondrous woo work workable worked works world-famous worth worth-while worthiness worthwhile worthy wow wowed wowing wows yay youthful zeal zenith zest zippy▓SentimentWordsInList2░2-faced 2-faces abnormal abolish abominable abominably abominate abomination abort aborted aborts abrade abrasive abrupt abruptly abscond absence absent-minded absentee absurd absurdity absurdly absurdness abuse abused abuses abusive abysmal abysmally abyss accidental accost accursed accusation accusations accuse accuses accusing accusingly acerbate acerbic acerbically ache ached aches achey aching acrid acridly acridness acrimonious acrimoniously acrimony adamant adamantly addict addicted addicting addicts admonish admonisher admonishingly admonishment admonition adulterate adulterated adulteration adulterier adversarial adversary adverse adversity afflict affliction afflictive affront afraid aggravate aggravating aggravation aggression aggressive aggressiveness aggressor aggrieve aggrieved aggrivation aghast agonies agonize agonizing agonizingly agony aground ail ailing ailment aimless alarm alarmed alarming alarmingly alienate alienated alienation allegation allegations allege allergic allergies allergy aloof altercation ambiguity ambiguous ambivalence ambivalent ambush amiss amputate anarchism anarchist anarchistic anarchy anemic anger angrily angriness angry anguish animosity annihilate annihilation annoy annoyance annoyances annoyed annoying annoyingly annoys anomalous anomaly antagonism antagonist antagonistic antagonize anti- anti-american anti-israeli anti-occupation anti-proliferation anti-semites anti-social anti-us anti-white antipathy antiquated antithetical anxieties anxiety anxious anxiously anxiousness apathetic apathetically apathy apocalypse apocalyptic apologist apologists appal appall appalled appalling appallingly apprehension apprehensions apprehensive apprehensively arbitrary arcane archaic arduous arduously argumentative arrogance arrogant arrogantly ashamed asinine asininely asinininity askance asperse aspersion aspersions assail assassin assassinate assault assult astray asunder atrocious atrocities atrocity atrophy attack attacks audacious audaciously audaciousness audacity audiciously austere authoritarian autocrat autocratic avalanche avarice avaricious avariciously avenge averse aversion aweful awful awfully awfulness awkward awkwardness ax babble back-logged back-wood back-woods backache backaches backaching backbite backbiting backward backwardness backwood backwoods bad badly baffle baffled bafflement baffling bait balk banal banalize bane banish banishment bankrupt barbarian barbaric barbarically barbarity barbarous barbarously barren baseless bash bashed bashful bashing bastard bastards battered battering batty bearish beastly bedlam bedlamite befoul beg beggar beggarly begging beguile belabor belated beleaguer belie belittle belittled belittling bellicose belligerence belligerent belligerently bemoan bemoaning bemused bent berate bereave bereavement bereft berserk beseech beset besiege besmirch bestial betray betrayal betrayals betrayer betraying betrays bewail beware bewilder bewildered bewildering bewilderingly bewilderment bewitch bias biased biases bicker bickering bid-rigging bigotries bigotry bitch bitchy biting bitingly bitter bitterly bitterness bizarr</t>
  </si>
  <si>
    <t>Workbook Settings 9</t>
  </si>
  <si>
    <t>e blab blabber blackmail blah blame blameworthy bland blandish blaspheme blasphemous blasphemy blasted blatant blatantly blather bleak bleakly bleakness bleed bleeding bleeds blemish blind blinding blindingly blindside blister blistering bloated blockage blockhead bloodshed bloodthirsty bloody blotchy blow blunder blundering blunders blunt blur bluring blurred blurring blurry blurs blurt boastful boggle bogus boil boiling boisterous bomb bombard bombardment bombastic bondage bonkers bore bored boredom bores boring botch bother bothered bothering bothers bothersome bowdlerize boycott braggart bragger brainless brainwash brash brashly brashness brat bravado brazen brazenly brazenness breach break break-up break-ups breakdown breaking breaks breakup breakups bribery brimstone bristle brittle broke broken broken-hearted brood browbeat bruise bruised bruises bruising brusque brutal brutalising brutalities brutality brutalize brutalizing brutally brute brutish bs buckle bug bugging buggy bugs bulkier bulkiness bulky bulkyness bull**** bull---- bullies bullshit bullshyt bully bullying bullyingly bum bump bumped bumping bumpping bumps bumpy bungle bungler bungling bunk burden burdensome burdensomely burn burned burning burns bust busts busybody butcher butchery buzzing byzantine cackle calamities calamitous calamitously calamity callous calumniate calumniation calumnies calumnious calumniously calumny cancer cancerous cannibal cannibalize capitulate capricious capriciously capriciousness capsize careless carelessness caricature carnage carp cartoonish cash-strapped castigate castrated casualty cataclysm cataclysmal cataclysmic cataclysmically catastrophe catastrophes catastrophic catastrophically catastrophies caustic caustically cautionary cave censure chafe chaff chagrin challenging chaos chaotic chasten chastise chastisement chatter chatterbox cheap cheapen cheaply cheat cheated cheater cheating cheats checkered cheerless cheesy chide childish chill chilly chintzy choke choleric choppy chore chronic chunky clamor clamorous clash cliche cliched clique clog clogged clogs cloud clouding cloudy clueless clumsy clunky coarse cocky coerce coercion coercive cold coldly collapse collude collusion combative combust comical commiserate commonplace commotion commotions complacent complain complained complaining complains complaint complaints complex complicated complication complicit compulsion compulsive concede conceded conceit conceited concen concens concern concerned concerns concession concessions condemn condemnable condemnation condemned condemns condescend condescending condescendingly condescension confess confession confessions confined conflict conflicted conflicting conflicts confound confounded confounding confront confrontation confrontational confuse confused confuses confusing confusion confusions congested congestion cons conscons conservative conspicuous conspicuously conspiracies conspiracy conspirator conspiratorial conspire consternation contagious contaminate contaminated contaminates contaminating contamination contempt contemptible contemptuous contemptuously contend contention contentious contort contortions contradict contradiction contradictory contrariness contravene contrive contrived controversial controversy convoluted corrode corrosion corrosions corrosive corrupt corrupted corrupting corruption corrupts corruptted costlier costly counter-productive counterproductive coupists covetous coward cowardly crabby crack cracked cracks craftily craftly crafty cramp cramped cramping cranky crap crappy craps crash crashed crashes crashing crass craven cravenly craze crazily craziness crazy creak creaking creaks credulous creep creeping creeps creepy crept crime criminal cringe cringed cringes cripple crippled cripples crippling crisis critic critical criticism criticisms criticize criticized criticizing critics cronyism crook crooked crooks crowded crowdedness crude cruel crueler cruelest cruelly cruelness cruelties cruelty crumble crumbling crummy crumple crumpled crumples crush crushed crushing cry culpable culprit cumbersome cunt cunts cuplrit curse cursed curses curt cuss cussed cutthroat cynical cynicism d*mn damage damaged damages damaging damn damnable damnably damnation damned damning damper danger dangerous dangerousness dark darken darkened darker darkness dastard dastardly daunt daunting dauntingly dawdle daze dazed dead deadbeat deadlock deadly deadweight deaf dearth death debacle debase debasement debaser debatable debauch debaucher debauchery debilitate debilitating debility debt debts decadence decadent decay decayed deceit deceitful deceitfully deceitfulness deceive deceiver deceivers deceiving deception deceptive deceptively declaim decline declines declining decrement decrepit decrepitude decry defamation defamations defamatory defame defect defective defects defensive defiance defiant defiantly deficiencies deficiency deficient defile defiler deform deformed defrauding defunct defy degenerate degenerately degeneration degradation degrade degrading degradingly dehumanization dehumanize deign deject dejected dejectedly dejection delay delayed delaying delays delinquency delinquent delirious delirium delude deluded deluge delusion delusional delusions demean demeaning demise demolish demolisher demon demonic demonize demonized demonizes demonizing demoralize demoralizing demoralizingly denial denied denies denigrate denounce dense dent dented dents denunciate denunciation denunciations deny denying deplete deplorable deplorably deplore deploring deploringly deprave depraved depravedly deprecate depress depressed depressing depressingly depression depressions deprive deprived deride derision derisive derisively derisiveness derogatory desecrate desert desertion desiccate desiccated desititute desolate desolately desolation despair despairing despairingly desperate desperately desperation despicable despicably despise despised despoil despoiler despondence despondenc</t>
  </si>
  <si>
    <t>Workbook Settings 10</t>
  </si>
  <si>
    <t>y despondent despondently despot despotic despotism destabilisation destains destitute destitution destroy destroyer destruction destructive desultory deter deteriorate deteriorating deterioration deterrent detest detestable detestably detested detesting detests detract detracted detracting detraction detracts detriment detrimental devastate devastated devastates devastating devastatingly devastation deviate deviation devil devilish devilishly devilment devilry devious deviously deviousness devoid diabolic diabolical diabolically diametrically diappointed diatribe diatribes dick dictator dictatorial die die-hard died dies difficult difficulties difficulty diffidence dilapidated dilemma dilly-dally dim dimmer din ding dings dinky dire direly direness dirt dirtbag dirtbags dirts dirty disable disabled disaccord disadvantage disadvantaged disadvantageous disadvantages disaffect disaffected disaffirm disagree disagreeable disagreeably disagreed disagreeing disagreement disagrees disallow disapointed disapointing disapointment disappoint disappointed disappointing disappointingly disappointment disappointments disappoints disapprobation disapproval disapprove disapproving disarm disarray disaster disasterous disastrous disastrously disavow disavowal disbelief disbelieve disbeliever disclaim discombobulate discomfit discomfititure discomfort discompose disconcert disconcerted disconcerting disconcertingly disconsolate disconsolately disconsolation discontent discontented discontentedly discontinued discontinuity discontinuous discord discordance discordant discountenance discourage discouragement discouraging discouragingly discourteous discourteously discoutinous discredit discrepant discriminate discrimination discriminatory disdain disdained disdainful disdainfully disfavor disgrace disgraced disgraceful disgracefully disgruntle disgruntled disgust disgusted disgustedly disgustful disgustfully disgusting disgustingly dishearten disheartening dishearteningly dishonest dishonestly dishonesty dishonor dishonorable dishonorablely disillusion disillusioned disillusionment disillusions disinclination disinclined disingenuous disingenuously disintegrate disintegrated disintegrates disintegration disinterest disinterested dislike disliked dislikes disliking dislocated disloyal disloyalty dismal dismally dismalness dismay dismayed dismaying dismayingly dismissive dismissively disobedience disobedient disobey disoobedient disorder disordered disorderly disorganized disorient disoriented disown disparage disparaging disparagingly dispensable dispirit dispirited dispiritedly dispiriting displace displaced displease displeased displeasing displeasure disproportionate disprove disputable dispute disputed disquiet disquieting disquietingly disquietude disregard disregardful disreputable disrepute disrespect disrespectable disrespectablity disrespectful disrespectfully disrespectfulness disrespecting disrupt disruption disruptive diss dissapointed dissappointed dissappointing dissatisfaction dissatisfactory dissatisfied dissatisfies dissatisfy dissatisfying dissed dissemble dissembler dissension dissent dissenter dissention disservice disses dissidence dissident dissidents dissing dissocial dissolute dissolution dissonance dissonant dissonantly dissuade dissuasive distains distaste distasteful distastefully distort distorted distortion distorts distract distracting distraction distraught distraughtly distraughtness distress distressed distressing distressingly distrust distrustful distrusting disturb disturbance disturbed disturbing disturbingly disunity disvalue divergent divisive divisively divisiveness dizzing dizzingly dizzy doddering dodgey dogged doggedly dogmatic doldrums domineer domineering donside doom doomed doomsday dope doubt doubtful doubtfully doubts douchbag douchebag douchebags downbeat downcast downer downfall downfallen downgrade downhearted downheartedly downhill downside downsides downturn downturns drab draconian draconic drag dragged dragging dragoon drags drain drained draining drains drastic drastically drawback drawbacks dread dreadful dreadfully dreadfulness dreary dripped dripping drippy drips drones droop droops drop-out drop-outs dropout dropouts drought drowning drunk drunkard drunken dubious dubiously dubitable dud dull dullard dumb dumbfound dump dumped dumping dumps dunce dungeon dungeons dupe dust dusty dwindling dying earsplitting eccentric eccentricity effigy effrontery egocentric egomania egotism egotistical egotistically egregious egregiously election-rigger elimination emaciated emasculate embarrass embarrassing embarrassingly embarrassment embattled embroil embroiled embroilment emergency emphatic emphatically emptiness encroach encroachment endanger enemies enemy enervate enfeeble enflame engulf enjoin enmity enrage enraged enraging enslave entangle entanglement entrap entrapment envious enviously enviousness epidemic equivocal erase erode erodes erosion err errant erratic erratically erroneous erroneously error errors eruptions escapade eschew estranged evade evasion evasive evil evildoer evils eviscerate exacerbate exagerate exagerated exagerates exaggerate exaggeration exasperate exasperated exasperating exasperatingly exasperation excessive excessively exclusion excoriate excruciating excruciatingly excuse excuses execrate exhaust exhausted exhaustion exhausts exhorbitant exhort exile exorbitant exorbitantance exorbitantly expel expensive expire expired explode exploit exploitation explosive expropriate expropriation expulse expunge exterminate extermination extinguish extort extortion extraneous extravagance extravagant extravagantly extremism extremist extremists eyesore f**k fabricate fabrication facetious facetiously fail failed failing fails failure failures faint fainthearted faithless fake fall fallacies fallacious fallaciously fallaciousness fallacy fallen falling fallout falls false falsehood falsely falsify falter faltered famine famished fanatic fana</t>
  </si>
  <si>
    <t>Workbook Settings 11</t>
  </si>
  <si>
    <t>tical fanatically fanaticism fanatics fanciful far-fetched farce farcical farcical-yet-provocative farcically farfetched fascism fascist fastidious fastidiously fastuous fat fat-cat fat-cats fatal fatalistic fatalistically fatally fatcat fatcats fateful fatefully fathomless fatigue fatigued fatique fatty fatuity fatuous fatuously fault faults faulty fawningly faze fear fearful fearfully fears fearsome feckless feeble feeblely feebleminded feign feint fell felon felonious ferociously ferocity fetid fever feverish fevers fiasco fib fibber fickle fiction fictional fictitious fidget fidgety fiend fiendish fierce figurehead filth filthy finagle finicky fissures fist flabbergast flabbergasted flagging flagrant flagrantly flair flairs flak flake flakey flakieness flaking flaky flare flares flareup flareups flat-out flaunt flaw flawed flaws flee fleed fleeing fleer flees fleeting flicering flicker flickering flickers flighty flimflam flimsy flirt flirty floored flounder floundering flout fluster foe fool fooled foolhardy foolish foolishly foolishness forbid forbidden forbidding forceful foreboding forebodingly forfeit forged forgetful forgetfully forgetfulness forlorn forlornly forsake forsaken forswear foul foully foulness fractious fractiously fracture fragile fragmented frail frantic frantically franticly fraud fraudulent fraught frazzle frazzled freak freaking freakish freakishly freaks freeze freezes freezing frenetic frenetically frenzied frenzy fret fretful frets friction frictions fried friggin frigging fright frighten frightening frighteningly frightful frightfully frigid frost frown froze frozen fruitless fruitlessly frustrate frustrated frustrates frustrating frustratingly frustration frustrations fuck fucking fudge fugitive full-blown fulminate fumble fume fumes fundamentalism funky funnily funny furious furiously furor fury fuss fussy fustigate fusty futile futilely futility fuzzy gabble gaff gaffe gainsay gainsayer gall galling gallingly galls gangster gape garbage garish gasp gauche gaudy gawk gawky geezer genocide get-rich ghastly ghetto ghosting gibber gibberish gibe giddy gimmick gimmicked gimmicking gimmicks gimmicky glare glaringly glib glibly glitch glitches gloatingly gloom gloomy glower glum glut gnawing goad goading god-awful goof goofy goon gossip graceless gracelessly graft grainy grapple grate grating gravely greasy greed greedy grief grievance grievances grieve grieving grievous grievously grim grimace grind gripe gripes grisly gritty gross grossly grotesque grouch grouchy groundless grouse growl grudge grudges grudging grudgingly gruesome gruesomely gruff grumble grumpier grumpiest grumpily grumpish grumpy guile guilt guiltily guilty gullible gutless gutter hack hacks haggard haggle hairloss halfhearted halfheartedly hallucinate hallucination hamper hampered handicapped hang hangs haphazard hapless harangue harass harassed harasses harassment harboring harbors hard hard-hit hard-line hard-liner hardball harden hardened hardheaded hardhearted hardliner hardliners hardship hardships harm harmed harmful harms harpy harridan harried harrow harsh harshly hasseling hassle hassled hassles haste hastily hasty hate hated hateful hatefully hatefulness hater haters hates hating hatred haughtily haughty haunt haunting havoc hawkish haywire hazard hazardous haze hazy head-aches headache headaches heartbreaker heartbreaking heartbreakingly heartless heathen heavy-handed heavyhearted heck heckle heckled heckles hectic hedge hedonistic heedless hefty hegemonism hegemonistic hegemony heinous hell hell-bent hellion hells helpless helplessly helplessness heresy heretic heretical hesitant hestitant hideous hideously hideousness high-priced hiliarious hinder hindrance hiss hissed hissing ho-hum hoard hoax hobble hogs hollow hoodium hoodwink hooligan hopeless hopelessly hopelessness horde horrendous horrendously horrible horrid horrific horrified horrifies horrify horrifying horrifys hostage hostile hostilities hostility hotbeds hothead hotheaded hothouse hubris huckster hum humid humiliate humiliating humiliation humming hung hurt hurted hurtful hurting hurts hustler hype hypocricy hypocrisy hypocrite hypocrites hypocritical hypocritically hysteria hysteric hysterical hysterically hysterics idiocies idiocy idiot idiotic idiotically idiots idle ignoble ignominious ignominiously ignominy ignorance ignorant ignore ill-advised ill-conceived ill-defined ill-designed ill-fated ill-favored ill-formed ill-mannered ill-natured ill-sorted ill-tempered ill-treated ill-treatment ill-usage ill-used illegal illegally illegitimate illicit illiterate illness illogic illogical illogically illusion illusions illusory imaginary imbalance imbecile imbroglio immaterial immature imminence imminently immobilized immoderate immoderately immodest immoral immorality immorally immovable impair impaired impasse impatience impatient impatiently impeach impedance impede impediment impending impenitent imperfect imperfection imperfections imperfectly imperialist imperil imperious imperiously impermissible impersonal impertinent impetuous impetuously impiety impinge impious implacable implausible implausibly implicate implication implode impolite impolitely impolitic importunate importune impose imposers imposing imposition impossible impossiblity impossibly impotent impoverish impoverished impractical imprecate imprecise imprecisely imprecision imprison imprisonment improbability improbable improbably improper improperly impropriety imprudence imprudent impudence impudent impudently impugn impulsive impulsively impunity impure impurity inability inaccuracies inaccuracy inaccurate inaccurately inaction inactive inadequacy inadequate inadequately inadverent inadverently inadvisable inadvisably inane inanely inappropriate inappropriately inapt inaptitude inarticulate inattentive inaudible incapable incapably incautious incendiary incense incessant incessantly incite incitement incivility inclement incognizant incoherence</t>
  </si>
  <si>
    <t>Workbook Settings 12</t>
  </si>
  <si>
    <t xml:space="preserve"> incoherent incoherently incommensurate incomparable incomparably incompatability incompatibility incompatible incompetence incompetent incompetently incomplete incompliant incomprehensible incomprehension inconceivable inconceivably incongruous incongruously inconsequent inconsequential inconsequentially inconsequently inconsiderate inconsiderately inconsistence inconsistencies inconsistency inconsistent inconsolable inconsolably inconstant inconvenience inconveniently incorrect incorrectly incorrigible incorrigibly incredulous incredulously inculcate indecency indecent indecently indecision indecisive indecisively indecorum indefensible indelicate indeterminable indeterminably indeterminate indifference indifferent indigent indignant indignantly indignation indignity indiscernible indiscreet indiscreetly indiscretion indiscriminate indiscriminately indiscriminating indistinguishable indoctrinate indoctrination indolent indulge ineffective ineffectively ineffectiveness ineffectual ineffectually ineffectualness inefficacious inefficacy inefficiency inefficient inefficiently inelegance inelegant ineligible ineloquent ineloquently inept ineptitude ineptly inequalities inequality inequitable inequitably inequities inescapable inescapably inessential inevitable inevitably inexcusable inexcusably inexorable inexorably inexperience inexperienced inexpert inexpertly inexpiable inexplainable inextricable inextricably infamous infamously infamy infected infection infections inferior inferiority infernal infest infested infidel infidels infiltrator infiltrators infirm inflame inflammation inflammatory inflammed inflated inflationary inflexible inflict infraction infringe infringement infringements infuriate infuriated infuriating infuriatingly inglorious ingrate ingratitude inhibit inhibition inhospitable inhospitality inhuman inhumane inhumanity inimical inimically iniquitous iniquity injudicious injure injurious injury injustice injustices innuendo inoperable inopportune inordinate inordinately insane insanely insanity insatiable insecure insecurity insensible insensitive insensitively insensitivity insidious insidiously insignificance insignificant insignificantly insincere insincerely insincerity insinuate insinuating insinuation insociable insolence insolent insolently insolvent insouciance instability instable instigate instigator instigators insubordinate insubstantial insubstantially insufferable insufferably insufficiency insufficient insufficiently insular insult insulted insulting insultingly insults insupportable insupportably insurmountable insurmountably insurrection intefere inteferes intense interfere interference interferes intermittent interrupt interruption interruptions intimidate intimidating intimidatingly intimidation intolerable intolerablely intolerance intoxicate intractable intransigence intransigent intrude intrusion intrusive inundate inundated invader invalid invalidate invalidity invasive invective inveigle invidious invidiously invidiousness invisible involuntarily involuntary irascible irate irately ire irk irked irking irks irksome irksomely irksomeness irksomenesses ironic ironical ironically ironies irony irragularity irrational irrationalities irrationality irrationally irrationals irreconcilable irrecoverable irrecoverableness irrecoverablenesses irrecoverably irredeemable irredeemably irreformable irregular irregularity irrelevance irrelevant irreparable irreplacible irrepressible irresolute irresolvable irresponsible irresponsibly irretating irretrievable irreversible irritable irritably irritant irritate irritated irritating irritation irritations isolate isolated isolation issue issues itch itching itchy jabber jaded jagged jam jarring jaundiced jealous jealously jealousness jealousy jeer jeering jeeringly jeers jeopardize jeopardy jerk jerky jitter jitters jittery job-killing jobless joke joker jolt judder juddering judders jumpy junk junky junkyard jutter jutters kaput kill killed killer killing killjoy kills knave knife knock knotted kook kooky lack lackadaisical lacked lackey lackeys lacking lackluster lacks laconic lag lagged lagging laggy lags laid-off lambast lambaste lame lame-duck lament lamentable lamentably languid languish languor languorous languorously lanky lapse lapsed lapses lascivious last-ditch latency laughable laughably laughingstock lawbreaker lawbreaking lawless lawlessness layoff layoff-happy lazy leak leakage leakages leaking leaks leaky lech lecher lecherous lechery leech leer leery left-leaning lemon lengthy less-developed lesser-known letch lethal lethargic lethargy lewd lewdly lewdness liability liable liar liars licentious licentiously licentiousness lie lied lier lies life-threatening lifeless limit limitation limitations limited limits limp listless litigious little-known livid lividly loath loathe loathing loathly loathsome loathsomely lone loneliness lonely loner lonesome long-time long-winded longing longingly loophole loopholes loose loot lorn lose loser losers loses losing loss losses lost loud louder lousy loveless lovelorn low-rated lowly ludicrous ludicrously lugubrious lukewarm lull lumpy lunatic lunaticism lurch lure lurid lurk lurking lying macabre mad madden maddening maddeningly madder madly madman madness maladjusted maladjustment malady malaise malcontent malcontented maledict malevolence malevolent malevolently malice malicious maliciously maliciousness malign malignant malodorous maltreatment mangle mangled mangles mangling mania maniac maniacal manic manipulate manipulation manipulative manipulators mar marginal marginally martyrdom martyrdom-seeking mashed massacre massacres matte mawkish mawkishly mawkishness meager meaningless meanness measly meddle meddlesome mediocre mediocrity melancholy melodramatic melodramatically meltdown menace menacing menacingly mendacious mendacity menial merciless mercilessly mess messed messes messing messy midget miff militancy mindless mindlessly mirage mire misalign misal</t>
  </si>
  <si>
    <t>Workbook Settings 13</t>
  </si>
  <si>
    <t>igned misaligns misapprehend misbecome misbecoming misbegotten misbehave misbehavior miscalculate miscalculation miscellaneous mischief mischievous mischievously misconception misconceptions miscreant miscreants misdirection miser miserable miserableness miserably miseries miserly misery misfit misfortune misgiving misgivings misguidance misguide misguided mishandle mishap misinform misinformed misinterpret misjudge misjudgment mislead misleading misleadingly mislike mismanage mispronounce mispronounced mispronounces misread misreading misrepresent misrepresentation miss missed misses misstatement mist mistake mistaken mistakenly mistakes mistified mistress mistrust mistrustful mistrustfully mists misunderstand misunderstanding misunderstandings misunderstood misuse moan mobster mock mocked mockeries mockery mocking mockingly mocks molest molestation monotonous monotony monster monstrosities monstrosity monstrous monstrously moody moot mope morbid morbidly mordant mordantly moribund moron moronic morons mortification mortified mortify mortifying motionless motley mourn mourner mournful mournfully muddle muddy mudslinger mudslinging mulish multi-polarization mundane murder murderer murderous murderously murky muscle-flexing mushy musty mysterious mysteriously mystery mystify myth nag nagging naive naively narrower nastily nastiness nasty naughty nauseate nauseates nauseating nauseatingly naïve nebulous nebulously needless needlessly needy nefarious nefariously negate negation negative negatives negativity neglect neglected negligence negligent nemesis nepotism nervous nervously nervousness nettle nettlesome neurotic neurotically niggle niggles nightmare nightmarish nightmarishly nitpick nitpicking noise noises noisier noisy non-confidence nonexistent nonresponsive nonsense nosey notoriety notorious notoriously noxious nuisance numb obese object objection objectionable objections oblique obliterate obliterated oblivious obnoxious obnoxiously obscene obscenely obscenity obscure obscured obscures obscurity obsess obsessive obsessively obsessiveness obsolete obstacle obstinate obstinately obstruct obstructed obstructing obstruction obstructs obtrusive obtuse occlude occluded occludes occluding odd odder oddest oddities oddity oddly odor offence offend offender offending offenses offensive offensively offensiveness officious ominous ominously omission omit one-sided onerous onerously onslaught opinionated opponent opportunistic oppose opposition oppositions oppress oppression oppressive oppressively oppressiveness oppressors ordeal orphan ostracize outbreak outburst outbursts outcast outcry outlaw outmoded outrage outraged outrageous outrageously outrageousness outrages outsider over-acted over-awe over-balanced over-hyped over-priced over-valuation overact overacted overawe overbalance overbalanced overbearing overbearingly overblown overdo overdone overdue overemphasize overheat overkill overloaded overlook overpaid overpayed overplay overpower overpriced overrated overreach overrun overshadow oversight oversights oversimplification oversimplified oversimplify oversize overstate overstated overstatement overstatements overstates overtaxed overthrow overthrows overturn overweight overwhelm overwhelmed overwhelming overwhelmingly overwhelms overzealous overzealously overzelous pain painful painfull painfully pains pale pales paltry pan pandemonium pander pandering panders panic panick panicked panicking panicky paradoxical paradoxically paralize paralyzed paranoia paranoid parasite pariah parody partiality partisan partisans passe passive passiveness pathetic pathetically patronize paucity pauper paupers payback peculiar peculiarly pedantic peeled peeve peeved peevish peevishly penalize penalty perfidious perfidity perfunctory peril perilous perilously perish pernicious perplex perplexed perplexing perplexity persecute persecution pertinacious pertinaciously pertinacity perturb perturbed pervasive perverse perversely perversion perversity pervert perverted perverts pessimism pessimistic pessimistically pest pestilent petrified petrify pettifog petty phobia phobic phony picket picketed picketing pickets picky pig pigs pillage pillory pimple pinch pique pitiable pitiful pitifully pitiless pitilessly pittance pity plagiarize plague plasticky plaything plea pleas plebeian plight plot plotters ploy plunder plunderer pointless pointlessly poison poisonous poisonously pokey poky polarisation polemize pollute polluter polluters polution pompous poor poorer poorest poorly posturing pout poverty powerless prate pratfall prattle precarious precariously precipitate precipitous predatory predicament prejudge prejudice prejudices prejudicial premeditated preoccupy preposterous preposterously presumptuous presumptuously pretence pretend pretense pretentious pretentiously prevaricate pricey pricier prick prickle prickles prideful prik primitive prison prisoner problem problematic problems procrastinate procrastinates procrastination profane profanity prohibit prohibitive prohibitively propaganda propagandize proprietary prosecute protest protested protesting protests protracted provocation provocative provoke pry pugnacious pugnaciously pugnacity punch punish punishable punitive punk puny puppet puppets puzzled puzzlement puzzling quack qualm qualms quandary quarrel quarrellous quarrellously quarrels quarrelsome quash queer questionable quibble quibbles quitter rabid racism racist racists racy radical radicalization radically radicals rage ragged raging rail raked rampage rampant ramshackle rancor randomly rankle rant ranted ranting rantingly rants rape raped raping rascal rascals rash rattle rattled rattles ravage raving reactionary rebellious rebuff rebuke recalcitrant recant recession recessionary reckless recklessly recklessness recoil recourses redundancy redundant refusal refuse refused refuses refusing refutation refute refuted refutes refuting regress regression regressive regret regreted regretful re</t>
  </si>
  <si>
    <t>Workbook Settings 14</t>
  </si>
  <si>
    <t>gretfully regrets regrettable regrettably regretted reject rejected rejecting rejection rejects relapse relentless relentlessly relentlessness reluctance reluctant reluctantly remorse remorseful remorsefully remorseless remorselessly remorselessness renounce renunciation repel repetitive reprehensible reprehensibly reprehension reprehensive repress repression repressive reprimand reproach reproachful reprove reprovingly repudiate repudiation repugn repugnance repugnant repugnantly repulse repulsed repulsing repulsive repulsively repulsiveness resent resentful resentment resignation resigned resistance restless restlessness restrict restricted restriction restrictive resurgent retaliate retaliatory retard retarded retardedness retards reticent retract retreat retreated revenge revengeful revengefully revert revile reviled revoke revolt revolting revoltingly revulsion revulsive rhapsodize rhetoric rhetorical ricer ridicule ridicules ridiculous ridiculously rife rift rifts rigid rigidity rigidness rile riled rip rip-off ripoff ripped risk risks risky rival rivalry roadblocks rocky rogue rollercoaster rot rotten rough rremediable rubbish rude rue ruffian ruffle ruin ruined ruining ruinous ruins rumbling rumor rumors rumours rumple run-down runaway rupture rust rusts rusty rut ruthless ruthlessly ruthlessness ruts sabotage sack sacrificed sad sadden sadly sadness sag sagged sagging saggy sags salacious sanctimonious sap sarcasm sarcastic sarcastically sardonic sardonically sass satirical satirize savage savaged savagery savages scaly scam scams scandal scandalize scandalized scandalous scandalously scandals scandel scandels scant scapegoat scar scarce scarcely scarcity scare scared scarier scariest scarily scarred scars scary scathing scathingly sceptical scoff scoffingly scold scolded scolding scoldingly scorching scorchingly scorn scornful scornfully scoundrel scourge scowl scramble scrambled scrambles scrambling scrap scratch scratched scratches scratchy scream screech screw-up screwed screwed-up screwy scuff scuffs scum scummy second-class second-tier secretive sedentary seedy seethe seething self-coup self-criticism self-defeating self-destructive self-humiliation self-interest self-interested self-serving selfinterested selfish selfishly selfishness semi-retarded senile sensationalize senseless senselessly seriousness sermonize servitude set-up setback setbacks sever severe severity sh*t shabby shadowy shady shake shaky shallow sham shambles shame shameful shamefully shamefulness shameless shamelessly shamelessness shark sharply shatter shemale shimmer shimmy shipwreck shirk shirker shit shiver shock shocked shocking shockingly shoddy short-lived shortage shortchange shortcoming shortcomings shortness shortsighted shortsightedness showdown shrew shriek shrill shrilly shrivel shroud shrouded shrug shun shunned sick sicken sickening sickeningly sickly sickness sidetrack sidetracked siege sillily silly simplistic simplistically sin sinful sinfully sinister sinisterly sink sinking skeletons skeptic skeptical skeptically skepticism sketchy skimpy skinny skittish skittishly skulk slack slander slanderer slanderous slanderously slanders slap slashing slaughter slaughtered slave slaves sleazy slime slog slogged slogging slogs sloooooooooooooow sloooow slooow sloow sloppily sloppy sloth slothful slow slow-moving slowed slower slowest slowly sloww slowww slowwww slug sluggish slump slumping slumpping slur slut sluts sly smack smallish smash smear smell smelled smelling smells smelly smelt smoke smokescreen smolder smoldering smother smoulder smouldering smudge smudged smudges smudging smug smugly smut smuttier smuttiest smutty snag snagged snagging snags snappish snappishly snare snarky snarl sneak sneakily sneaky sneer sneering sneeringly snob snobbish snobby snobish snobs snub so-cal soapy sob sober sobering solemn solicitude somber sore sorely soreness sorrow sorrowful sorrowfully sorry sour sourly spade spank spendy spew spewed spewing spews spilling spinster spiritless spite spiteful spitefully spitefulness splatter split splitting spoil spoilage spoilages spoiled spoilled spoils spook spookier spookiest spookily spooky spoon-fed spoon-feed spoonfed sporadic spotty spurious spurn sputter squabble squabbling squander squash squeak squeaks squeaky squeal squealing squeals squirm stab stagnant stagnate stagnation staid stain stains stale stalemate stall stalls stammer stampede standstill stark starkly startle startling startlingly starvation starve static steal stealing steals steep steeply stench stereotype stereotypical stereotypically stern stew sticky stiff stiffness stifle stifling stiflingly stigma stigmatize sting stinging stingingly stingy stink stinks stodgy stole stolen stooge stooges stormy straggle straggler strain strained straining strange strangely stranger strangest strangle streaky strenuous stress stresses stressful stressfully stricken strict strictly strident stridently strife strike stringent stringently struck struggle struggled struggles struggling strut stubborn stubbornly stubbornness stuck stuffy stumble stumbled stumbles stump stumped stumps stun stunt stunted stupid stupidest stupidity stupidly stupified stupify stupor stutter stuttered stuttering stutters sty stymied sub-par subdued subjected subjection subjugate subjugation submissive subordinate subpoena subpoenas subservience subservient substandard subtract subversion subversive subversively subvert succumb suck sucked sucker sucks sucky sue sued sueing sues suffer suffered sufferer sufferers suffering suffers suffocate sugar-coat sugar-coated sugarcoated suicidal suicide sulk sullen sully sunder sunk sunken superficial superficiality superficially superfluous superstition superstitious suppress suppression surrender susceptible suspect suspicion suspicions suspicious suspiciously swagger swamped sweaty swelled swelling swindle swipe swollen symptom symptoms syndrome taboo tacky taint tainted tamper tangle tangl</t>
  </si>
  <si>
    <t>Workbook Settings 15</t>
  </si>
  <si>
    <t>ed tangles tank tanked tanks tantrum tardy tarnish tarnished tarnishes tarnishing tattered taunt taunting tauntingly taunts taut tawdry taxing tease teasingly tedious tediously temerity temper tempest temptation tenderness tense tension tentative tentatively tenuous tenuously tepid terrible terribleness terribly terror terror-genic terrorism terrorize testily testy tetchily tetchy thankless thicker thirst thorny thoughtless thoughtlessly thoughtlessness thrash threat threaten threatening threats threesome throb throbbed throbbing throbs throttle thug thumb-down thumbs-down thwart time-consuming timid timidity timidly timidness tin-y tingled tingling tired tiresome tiring tiringly toil toll top-heavy topple torment tormented torrent tortuous torture tortured tortures torturing torturous torturously totalitarian touchy toughness tout touted touts toxic traduce tragedy tragic tragically traitor traitorous traitorously tramp trample transgress transgression trap traped trapped trash trashed trashy trauma traumatic traumatically traumatize traumatized travesties travesty treacherous treacherously treachery treason treasonous trick tricked trickery tricky trivial trivialize trouble troubled troublemaker troubles troublesome troublesomely troubling troublingly truant tumble tumbled tumbles tumultuous turbulent turmoil twist twisted twists two-faced two-faces tyrannical tyrannically tyranny tyrant ugh uglier ugliest ugliness ugly ulterior ultimatum ultimatums ultra-hardline un-viewable unable unacceptable unacceptablely unacceptably unaccessible unaccustomed unachievable unaffordable unappealing unattractive unauthentic unavailable unavoidably unbearable unbearablely unbelievable unbelievably uncaring uncertain uncivil uncivilized unclean unclear uncollectible uncomfortable uncomfortably uncomfy uncompetitive uncompromising uncompromisingly unconfirmed unconstitutional uncontrolled unconvincing unconvincingly uncooperative uncouth uncreative undecided undefined undependability undependable undercut undercuts undercutting underdog underestimate underlings undermine undermined undermines undermining underpaid underpowered undersized undesirable undetermined undid undignified undissolved undocumented undone undue unease uneasily uneasiness uneasy uneconomical unemployed unequal unethical uneven uneventful unexpected unexpectedly unexplained unfairly unfaithful unfaithfully unfamiliar unfavorable unfeeling unfinished unfit unforeseen unforgiving unfortunate unfortunately unfounded unfriendly unfulfilled unfunded ungovernable ungrateful unhappily unhappiness unhappy unhealthy unhelpful unilateralism unimaginable unimaginably unimportant uninformed uninsured unintelligible unintelligile unipolar unjust unjustifiable unjustifiably unjustified unjustly unkind unkindly unknown unlamentable unlamentably unlawful unlawfully unlawfulness unleash unlicensed unlikely unlucky unmoved unnatural unnaturally unnecessary unneeded unnerve unnerved unnerving unnervingly unnoticed unobserved unorthodox unorthodoxy unpleasant unpleasantries unpopular unpredictable unprepared unproductive unprofitable unprove unproved unproven unproves unproving unqualified unravel unraveled unreachable unreadable unrealistic unreasonable unreasonably unrelenting unrelentingly unreliability unreliable unresolved unresponsive unrest unruly unsafe unsatisfactory unsavory unscrupulous unscrupulously unsecure unseemly unsettle unsettled unsettling unsettlingly unskilled unsophisticated unsound unspeakable unspeakablely unspecified unstable unsteadily unsteadiness unsteady unsuccessful unsuccessfully unsupported unsupportive unsure unsuspecting unsustainable untenable untested unthinkable unthinkably untimely untouched untrue untrustworthy untruthful unusable unusably unuseable unuseably unusual unusually unviewable unwanted unwarranted unwatchable unwelcome unwell unwieldy unwilling unwillingly unwillingness unwise unwisely unworkable unworthy unyielding upbraid upheaval uprising uproar uproarious uproariously uproarous uproarously uproot upset upseting upsets upsetting upsettingly urgent useless usurp usurper utterly vagrant vague vagueness vain vainly vanity vehement vehemently vengeance vengeful vengefully vengefulness venom venomous venomously vent vestiges vex vexation vexing vexingly vibrate vibrated vibrates vibrating vibration vice vicious viciously viciousness victimize vile vileness vilify villainous villainously villains villian villianous villianously villify vindictive vindictively vindictiveness violate violation violator violators violent violently viper virulence virulent virulently virus vociferous vociferously volatile volatility vomit vomited vomiting vomits vulgar vulnerable wack wail wallow wane waning wanton war-like warily wariness warlike warned warning warp warped wary washed-out waste wasted wasteful wastefulness wasting water-down watered-down wayward weak weaken weakening weaker weakness weaknesses weariness wearisome weary wedge weed weep weird weirdly wheedle whimper whine whining whiny whips whore whores wicked wickedly wickedness wild wildly wiles wilt wily wimpy wince wobble wobbled wobbles woe woebegone woeful woefully womanizer womanizing worn worried worriedly worrier worries worrisome worry worrying worryingly worse worsen worsening worst worthless worthlessly worthlessness wound wounds wrangle wrath wreak wreaked wreaks wreck wrest wrestle wretch wretched wretchedly wretchedness wrinkle wrinkled wrinkles wrip wripped wripping writhe wrong wrongful wrongly wrought yawn zap zapped zaps zealot zealous zealously zombie▓SentimentWordsInList3░Hate Kill Hurt Shoot Destroy Bomb Knife Stab Blowup Burn&lt;/value&gt;_x000D_
      &lt;/setting&gt;_x000D_
      &lt;setting name="TimeSeriesUserSettings" serializeAs="String"&gt;_x000D_
        &lt;value&gt;TimeColumnName░Tweet Date (UTC)▓TimeSlice░Hours▓UniqueEdges░True▓UniqueColumnName░Imported ID▓SlicerColumns░Relationship,Hashtags in Tweet&lt;/value&gt;_x000D_
      &lt;/setting&gt;_x000D_
    &lt;/GraphMetricUserSettings&gt;_x000D_
    &lt;Au</t>
  </si>
  <si>
    <t>Workbook Settings 16</t>
  </si>
  <si>
    <t>tomateTasksUserSettings&gt;_x000D_
      &lt;setting name="FolderToAutomate" serializeAs="String"&gt;_x000D_
        &lt;value /&gt;_x000D_
      &lt;/setting&gt;_x000D_
      &lt;setting name="TasksToRun" serializeAs="String"&gt;_x000D_
        &lt;value&gt;MergeDuplicateEdges, CalculateGraphMetrics, AutoFillWorkbook, CreateSubgraphImages, CalculateClusters, ReadWorkbook, SaveWorkbookIfNeverSaved, SaveGraphImageFile, ExportToNodeXLGraphGallery, ExportToEmail&lt;/value&gt;_x000D_
      &lt;/setting&gt;_x000D_
      &lt;setting name="AutomateThisWorkbookOnly" serializeAs="String"&gt;_x000D_
        &lt;value&gt;True&lt;/value&gt;_x000D_
      &lt;/setting&gt;_x000D_
      &lt;setting name="FolderToSaveWorkbookTo" serializeAs="String"&gt;_x000D_
        &lt;value&gt;C:\Users\Administrator\Dropbox\NodeXL-EC2VM&lt;/value&gt;_x000D_
      &lt;/setting&gt;_x000D_
    &lt;/AutomateTasksUserSettings&gt;_x000D_
    &lt;AutoFillUserSettings3&gt;_x000D_
      &lt;setting name="VertexLabelSourceColumnName" serializeAs="String"&gt;_x000D_
        &lt;value&gt;Vertex&lt;/value&gt;_x000D_
      &lt;/setting&gt;_x000D_
      &lt;setting name="EdgeAlphaSourceColumnName" serializeAs="String"&gt;_x000D_
        &lt;value&gt;Edge Weight&lt;/value&gt;_x000D_
      &lt;/setting&gt;_x000D_
      &lt;setting name="VertexRadiusSourceColumnName" serializeAs="String"&gt;_x000D_
        &lt;value&gt;Followers&lt;/value&gt;_x000D_
      &lt;/setting&gt;_x000D_
      &lt;setting name="VertexYSourceColumnName" serializeAs="String"&gt;_x000D_
        &lt;value /&gt;_x000D_
      &lt;/setting&gt;_x000D_
      &lt;setting name="VertexXSourceColumnName" serializeAs="String"&gt;_x000D_
        &lt;value /&gt;_x000D_
      &lt;/setting&gt;_x000D_
      &lt;setting name="VertexLabelPositionSourceColumnName" serializeAs="String"&gt;_x000D_
        &lt;value /&gt;_x000D_
      &lt;/setting&gt;_x000D_
      &lt;setting name="EdgeLabelSourceColumnName" serializeAs="String"&gt;_x000D_
        &lt;value /&gt;_x000D_
      &lt;/setting&gt;_x000D_
      &lt;setting name="VertexColorSourceColumnName" serializeAs="String"&gt;_x000D_
        &lt;value /&gt;_x000D_
      &lt;/setting&gt;_x000D_
      &lt;setting name="EdgeVisibilitySourceColumnName" serializeAs="String"&gt;_x000D_
        &lt;value /&gt;_x000D_
      &lt;/setting&gt;_x000D_
      &lt;setting name="VertexLayoutOrderSourceColumnName" serializeAs="String"&gt;_x000D_
        &lt;value&gt;Followers&lt;/value&gt;_x000D_
      &lt;/setting&gt;_x000D_
      &lt;setting name="VertexToolTipSourceColumnName" serializeAs="String"&gt;_x000D_
        &lt;value /&gt;_x000D_
      &lt;/setting&gt;_x000D_
      &lt;setting name="VertexAlphaSourceColumnName" serializeAs="String"&gt;_x000D_
        &lt;value&gt;Followers&lt;/value&gt;_x000D_
      &lt;/setting&gt;_x000D_
      &lt;setting name="GroupCollapsedSourceColumnName" serializeAs="String"&gt;_x000D_
        &lt;value /&gt;_x000D_
      &lt;/setting&gt;_x000D_
      &lt;setting name="VertexPolarRSourceColumnName" serializeAs="String"&gt;_x000D_
        &lt;value /&gt;_x000D_
      &lt;/setting&gt;_x000D_
      &lt;setting name="EdgeWidthSourceColumnName" serializeAs="String"&gt;_x000D_
        &lt;value&gt;Edge Weight&lt;/value&gt;_x000D_
      &lt;/setting&gt;_x000D_
      &lt;setting name="VertexShapeSourceColumnName" serializeAs="String"&gt;_x000D_
        &lt;value&gt;In-Degree&lt;/value&gt;_x000D_
      &lt;/setting&gt;_x000D_
      &lt;setting name="EdgeStyleSourceColumnName" serializeAs="String"&gt;_x000D_
        &lt;value&gt;Edge Weight&lt;/value&gt;_x000D_
      &lt;/setting&gt;_x000D_
      &lt;setting name="EdgeColorSourceColumnName" serializeAs="String"&gt;_x000D_
        &lt;value&gt;Edge Weight&lt;/value&gt;_x000D_
      &lt;/setting&gt;_x000D_
      &lt;setting name="VertexPolarAngleSourceColumnName" serializeAs="String"&gt;_x000D_
        &lt;value /&gt;_x000D_
      &lt;/setting&gt;_x000D_
      &lt;setting name="VertexLabelFillColorSourceColumnName" serializeAs="String"&gt;_x000D_
        &lt;value /&gt;_x000D_
      &lt;/setting&gt;_x000D_
      &lt;setting name="VertexVisibilitySourceColumnName" serializeAs="String"&gt;_x000D_
        &lt;value /&gt;_x000D_
      &lt;/setting&gt;_x000D_
      &lt;setting name="VertexShapeDetails" serializeAs="String"&gt;_x000D_
        &lt;value&gt;GreaterThan	0	Image	Image&lt;/value&gt;_x000D_
      &lt;/setting&gt;_x000D_
      &lt;setting name="VertexYDetails" serializeAs="String"&gt;_x000D_
        &lt;value&gt;False	False	0	0	0	9999	False	False&lt;/value&gt;_x000D_
      &lt;/setting&gt;_x000D_
      &lt;setting name="VertexLayoutOrderDetails" serializeAs="String"&gt;_x000D_
        &lt;value&gt;False	False	0	0	1	9999	False	False&lt;/value&gt;_x000D_
      &lt;/setting&gt;_x000D_
      &lt;setting name="EdgeStyleDetails" serializeAs="String"&gt;_x000D_
        &lt;value&gt;GreaterThan	1	Dash Dot Dot	Solid&lt;/value&gt;_x000D_
      &lt;/setting&gt;_x000D_
      &lt;setting name="VertexColorDetails" serializeAs="String"&gt;_x000D_
        &lt;value&gt;False	False	0	10	Red	Green	False	False	True&lt;/value&gt;_x000D_
      &lt;/setting&gt;_x000D_
      &lt;setting name="EdgeAlphaDetails" serializeAs="String"&gt;_x000D_
        &lt;value&gt;False	False	0	0	32	6	False	False&lt;/value&gt;_x000D_
      &lt;/setting&gt;_x000D_
      &lt;setting name="VertexLabelPositionDetails" serializeAs="String"&gt;_x000D_
        &lt;value&gt;GreaterThan	0	Bottom Center	Nowhere&lt;/value&gt;_x000D_
      &lt;/setting&gt;_x000D_
      &lt;setting name="VertexVisibilityDetails" serializeAs="String"&gt;_x000D_
        &lt;value&gt;GreaterThan	0	Show if in an Edge	Skip&lt;/value&gt;_x000D_
      &lt;/setting&gt;_x000D_
      &lt;setting name="VertexPolarAngleDetails" serializeAs="String"&gt;_x000D_
        &lt;value&gt;False	False	0	0	0	359	False	False&lt;/value&gt;_x000D_
      &lt;/setting&gt;_x000D_
      &lt;setting name="VertexAlphaDetails" serializeAs="String"&gt;_x000D_
        &lt;value&gt;False	False	0	0	100	70	False	False&lt;/value&gt;_x000D_
      &lt;/setting&gt;_x000D_
      &lt;setting name="EdgeWidthDetails" serializeAs="String"&gt;_x000D_
        &lt;value&gt;False	False	0	0	3	10	True	False&lt;/value&gt;_x000D_
      &lt;/setting&gt;_x000D_
      &lt;setting name="GroupCollapsedDetails" serializeAs="String"&gt;_x000D_
        &lt;value&gt;GreaterThan	0	Yes	No&lt;/value&gt;_x000D_
      &lt;/setting&gt;_x000D_
      &lt;setting name="VertexRadiusDetails" serializeAs="String"&gt;_x000D_
        &lt;value&gt;False	False	0	0	162	1000	True	False&lt;/value&gt;_x000D_
      &lt;/setting&gt;_x000D_
      &lt;setting name="VertexXDetails" serializeAs="String"&gt;_x000D_
        &lt;value&gt;False	False	0	0	0	9999	False	False&lt;/value&gt;_x000D_
      &lt;/setting&gt;_x000D_
      &lt;setting name="EdgeColorDetails" serializeAs="String"&gt;_x000D_
        &lt;value&gt;False	False	0	0	Green	Red	False	False	True&lt;/value&gt;_x000D_
      &lt;/setting&gt;_x000D_
      &lt;setting name="VertexLabelFillColorDetails" serializeAs="String"&gt;_x000D_
        &lt;value&gt;False	False	0	10	Red	Green	False	False	True&lt;/value&gt;_x000D_
      &lt;/setting&gt;_x000D_
      &lt;setting name="EdgeVisibilityDetails" serializeAs="String"&gt;_x000D_
        &lt;value&gt;GreaterThan	0	Show	Skip&lt;/value&gt;_x000D_
      &lt;/setting&gt;_x000D_
      &lt;setting name="VertexPolarRDetails" serializeAs="String"&gt;_x000D_
        &lt;value&gt;False	False	0	0	0	1	False	False&lt;/value&gt;_x000D_
      &lt;/setting&gt;_x000D_
      &lt;setting name="GroupLabelSourceColumnName" serializeAs="String"&gt;_x000D_
        &lt;value&gt;Top Words in Tweet&lt;/value&gt;_x000D_
      &lt;/setting&gt;_x000D_
      &lt;setting name="GroupLabelDetails" serializeAs="String"&gt;_x000D_
        &lt;value&gt;Tru</t>
  </si>
  <si>
    <t>Workbook Settings 17</t>
  </si>
  <si>
    <t>e&lt;/value&gt;_x000D_
      &lt;/setting&gt;_x000D_
    &lt;/AutoFillUserSettings3&gt;_x000D_
    &lt;LayoutUserSettings&gt;_x000D_
      &lt;setting name="Layout" serializeAs="String"&gt;_x000D_
        &lt;value&gt;HarelKorenFastMultiscale&lt;/value&gt;_x000D_
      &lt;/setting&gt;_x000D_
      &lt;setting name="LayoutStyle" serializeAs="String"&gt;_x000D_
        &lt;value&gt;UseGroups&lt;/value&gt;_x000D_
      &lt;/setting&gt;_x000D_
      &lt;setting name="GroupRectanglePenWidth" serializeAs="String"&gt;_x000D_
        &lt;value&gt;1&lt;/value&gt;_x000D_
      &lt;/setting&gt;_x000D_
      &lt;setting name="FruchtermanReingoldC" serializeAs="String"&gt;_x000D_
        &lt;value&gt;3&lt;/value&gt;_x000D_
      &lt;/setting&gt;_x000D_
      &lt;setting name="HideIntergroupEdges" serializeAs="String"&gt;_x000D_
        &lt;value&gt;False&lt;/value&gt;_x000D_
      &lt;/setting&gt;_x000D_
      &lt;setting name="ImproveLayoutOfGroups" serializeAs="String"&gt;_x000D_
        &lt;value&gt;True&lt;/value&gt;_x000D_
      &lt;/setting&gt;_x000D_
      &lt;setting name="Margin" serializeAs="String"&gt;_x000D_
        &lt;value&gt;15&lt;/value&gt;_x000D_
      &lt;/setting&gt;_x000D_
      &lt;setting name="FruchtermanReingoldIterations" serializeAs="String"&gt;_x000D_
        &lt;value&gt;10&lt;/value&gt;_x000D_
      &lt;/setting&gt;_x000D_
      &lt;setting name="IntergroupEdgeStyle" serializeAs="String"&gt;_x000D_
        &lt;value&gt;Show&lt;/value&gt;_x000D_
      &lt;/setting&gt;_x000D_
    &lt;/LayoutUserSettings&gt;_x000D_
    &lt;GeneralUserSettings4&gt;_x000D_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&lt;setting name="ReadVertexLabels" serializeAs="String"&gt;_x000D_
        &lt;value&gt;True&lt;/value&gt;_x000D_
      &lt;/setting&gt;_x000D_
      &lt;setting name="ClearTablesBeforeImport" serializeAs="String"&gt;_x000D_
        &lt;value&gt;True&lt;/value&gt;_x000D_
      &lt;/setting&gt;_x000D_
      &lt;setting name="ClusterAlgorithm" serializeAs="String"&gt;_x000D_
        &lt;value&gt;ClausetNewmanMoore&lt;/value&gt;_x000D_
      &lt;/setting&gt;_x000D_
      &lt;setting name="BackColor" serializeAs="String"&gt;_x000D_
        &lt;value&gt;White&lt;/value&gt;_x000D_
      &lt;/setting&gt;_x000D_
      &lt;setting name="BackgroundImageUri" serializeAs="String"&gt;_x000D_
        &lt;value /&gt;_x000D_
      &lt;/setting&gt;_x000D_
      &lt;setting name="VertexRadius" serializeAs="String"&gt;_x000D_
        &lt;value&gt;1.5&lt;/value&gt;_x000D_
      &lt;/setting&gt;_x000D_
      &lt;setting name="AutoReadWorkbook" serializeAs="String"&gt;_x000D_
        &lt;value&gt;True&lt;/value&gt;_x000D_
      &lt;/setting&gt;_x000D_
      &lt;setting name="SelectedEdgeColor" serializeAs="String"&gt;_x000D_
        &lt;value&gt;Red&lt;/value&gt;_x000D_
      &lt;/setting&gt;_x000D_
      &lt;setting name="VertexAlpha" serializeAs="String"&gt;_x000D_
        &lt;value&gt;100&lt;/value&gt;_x000D_
      &lt;/setting&gt;_x000D_
      &lt;setting name="AxisFont" serializeAs="String"&gt;_x000D_
        &lt;value&gt;Microsoft Sans Serif, 24pt&lt;/value&gt;_x000D_
      &lt;/setting&gt;_x000D_
      &lt;setting name="EdgeCurveStyle" serializeAs="String"&gt;_x000D_
        &lt;value&gt;Bezier&lt;/value&gt;_x000D_
      &lt;/setting&gt;_x000D_
      &lt;setting name="EdgeWidth" serializeAs="String"&gt;_x000D_
        &lt;value&gt;2&lt;/value&gt;_x000D_
      &lt;/setting&gt;_x000D_
      &lt;setting name="AutoSelect" serializeAs="String"&gt;_x000D_
        &lt;value&gt;True&lt;/value&gt;_x000D_
      &lt;/setting&gt;_x000D_
      &lt;setting name="LabelUserSettings" serializeAs="String"&gt;_x000D_
        &lt;value&gt;Microsoft Sans Serif, 48pt	White	BottomCenter	2147483647	2147483647	Black	True	360	Black	86	TopLeft&lt;/value&gt;_x000D_
      &lt;/setting&gt;_x000D_
      &lt;setting name="EdgeAlpha" serializeAs="String"&gt;_x000D_
        &lt;value&gt;62&lt;/value&gt;_x000D_
      &lt;/setting&gt;_x000D_
      &lt;setting name="SelectedVertexColor" serializeAs="String"&gt;_x000D_
        &lt;value&gt;Red&lt;/value&gt;_x000D_
      &lt;/setting&gt;_x000D_
      &lt;setting name="VertexColor" serializeAs="String"&gt;_x000D_
        &lt;value&gt;Black&lt;/value&gt;_x000D_
      &lt;/setting&gt;_x000D_
      &lt;setting name="VertexShape" serializeAs="String"&gt;_x000D_
        &lt;value&gt;Disk&lt;/value&gt;_x000D_
      &lt;/setting&gt;_x000D_
      &lt;setting name="RelativeArrowSize" serializeAs="String"&gt;_x000D_
        &lt;value&gt;3&lt;/value&gt;_x000D_
      &lt;/setting&gt;_x000D_
      &lt;setting name="VertexImageSize" serializeAs="String"&gt;_x000D_
        &lt;value&gt;3&lt;/value&gt;_x000D_
      &lt;/setting&gt;_x000D_
      &lt;setting name="EdgeColor" serializeAs="String"&gt;_x000D_
        &lt;value&gt;Gray&lt;/value&gt;_x000D_
      &lt;/setting&gt;_x000D_
      &lt;setting name="EdgeBezierDisplacementFactor" serializeAs="String"&gt;_x000D_
        &lt;value&gt;0.6&lt;/value&gt;_x000D_
      &lt;/setting&gt;_x000D_
      &lt;setting name="NewWorkbookGraphDirectedness" serializeAs="String"&gt;_x000D_
        &lt;value&gt;Directed&lt;/value&gt;_x000D_
      &lt;/setting&gt;_x000D_
      &lt;setting name="SaveImportDescription" serializeAs="String"&gt;_x000D_
        &lt;value&gt;True&lt;/value&gt;_x000D_
      &lt;/setting&gt;_x000D_
      &lt;setting name="ReadGroupLabels" serializeAs="String"&gt;_x000D_
        &lt;value&gt;True&lt;/value&gt;_x000D_
      &lt;/setting&gt;_x000D_
      &lt;setting name="VertexRelativeOuterGlowSize" serializeAs="String"&gt;_x000D_
        &lt;value&gt;3&lt;/value&gt;_x000D_
      &lt;/setting&gt;_x000D_
      &lt;setting name="VertexEffect" serializeAs="String"&gt;_x000D_
        &lt;value&gt;DropShadow&lt;/value&gt;_x000D_
      &lt;/setting&gt;_x000D_
      &lt;setting name="EdgeBundlerStraightening" serializeAs="String"&gt;_x000D_
        &lt;value&gt;0.15&lt;/value&gt;_x000D_
      &lt;/setting&gt;_x000D_
    &lt;/GeneralUserSettings4&gt;_x000D_
    &lt;GraphZoomAndScaleUserSettings&gt;_x000D_
      &lt;setting name="GraphScale" serializeAs="String"&gt;_x000D_
        &lt;value&gt;0.1&lt;/value&gt;_x000D_
      &lt;/setting&gt;_x000D_
    &lt;/GraphZoomAndScaleUserSettings&gt;_x000D_
    &lt;GraphImageUserSettings2&gt;_x000D_
      &lt;setting name="ImageSize" serializeAs="String"&gt;_x000D_
        &lt;value&gt;4096, 3072&lt;/value&gt;_x000D_
      &lt;/setting&gt;_x000D_
      &lt;setting name="IncludeFooter" serializeAs="String"&gt;_x000D_
        &lt;value&gt;True&lt;/value&gt;_x000D_
      &lt;/setting&gt;_x000D_
      &lt;setting name="IncludeHeader" serializeAs="String"&gt;_x000D_
        &lt;value&gt;True&lt;/value&gt;_x000D_
      &lt;/setting&gt;_x000D_
      &lt;setting name="UseControlSize" serializeAs="String"&gt;_x000D_
        &lt;value&gt;False&lt;/value&gt;_x000D_
      &lt;/setting&gt;_x000D_
      &lt;setting name="FooterText" serializeAs="String"&gt;_x000D_
        &lt;value&gt;Created with NodeXL (http://nodexl.codeplex.com) from the Social Media Research Foundation (http://www.smrfoundation.org)&lt;/value&gt;_x000D_
      &lt;/setting&gt;_x000D_
      &lt;setting name="HeaderFooterFont" serializeAs="String"&gt;_x000D_
        &lt;value&gt;Microsoft Sans Serif, 27.75pt&lt;/value&gt;_x000D_
      &lt;/setting&gt;_x000D_
      &lt;setting name="HeaderText" serializeAs="String"&gt;_x000D_
        &lt;value&gt;Social media network connections among Twitter users&lt;/value&gt;_x000D_
      &lt;/setting&gt;_x000D_
    &lt;/GraphImageUserSettings2&gt;_x000D_
    &lt;DynamicFiltersUserSettings&gt;_x000D_
      &lt;setting name="FilterNonNumericCells" serializeAs="String"&gt;_x000D_
        &lt;value&gt;False&lt;/value&gt;_x000D_
      &lt;/setting&gt;_x000D_
      &lt;setting nam</t>
  </si>
  <si>
    <t>Workbook Settings 18</t>
  </si>
  <si>
    <t>e="FilteredAlpha" serializeAs="String"&gt;_x000D_
        &lt;value&gt;0&lt;/value&gt;_x000D_
      &lt;/setting&gt;_x000D_
    &lt;/DynamicFiltersUserSettings&gt;_x000D_
    &lt;MergeDuplicateEdgesUserSettings&gt;_x000D_
      &lt;setting name="ThirdColumnNameForDuplicateDetection" serializeAs="String"&gt;_x000D_
        &lt;value&gt;Relationship&lt;/value&gt;_x000D_
      &lt;/setting&gt;_x000D_
      &lt;setting name="CountDuplicates" serializeAs="String"&gt;_x000D_
        &lt;value&gt;True&lt;/value&gt;_x000D_
      &lt;/setting&gt;_x000D_
      &lt;setting name="DeleteDuplicates" serializeAs="String"&gt;_x000D_
        &lt;value&gt;False&lt;/value&gt;_x000D_
      &lt;/setting&gt;_x000D_
    &lt;/MergeDuplicateEdgesUserSettings&gt;_x000D_
  &lt;/userSettings&gt;_x000D_
&lt;/configuration&gt;</t>
  </si>
  <si>
    <t>Graph History</t>
  </si>
  <si>
    <t>Automate Tasks on Open</t>
  </si>
  <si>
    <t>Edge Weight</t>
  </si>
  <si>
    <t>G1</t>
  </si>
  <si>
    <t>G2</t>
  </si>
  <si>
    <t>0, 12, 96</t>
  </si>
  <si>
    <t>0, 136, 227</t>
  </si>
  <si>
    <t>Vertex Group</t>
  </si>
  <si>
    <t>Vertex 1 Group</t>
  </si>
  <si>
    <t>Vertex 2 Group</t>
  </si>
  <si>
    <t>Graph Type</t>
  </si>
  <si>
    <t>Modularity</t>
  </si>
  <si>
    <t>NodeXL Version</t>
  </si>
  <si>
    <t>1.0.1.365</t>
  </si>
  <si>
    <t>Not Applicable</t>
  </si>
  <si>
    <t>Top URLs in Tweet in Entire Graph</t>
  </si>
  <si>
    <t>Entire Graph Count</t>
  </si>
  <si>
    <t>Top URLs in Tweet in G1</t>
  </si>
  <si>
    <t>Top URLs in Tweet in G2</t>
  </si>
  <si>
    <t>G1 Count</t>
  </si>
  <si>
    <t>G2 Count</t>
  </si>
  <si>
    <t>Top URLs in Tweet</t>
  </si>
  <si>
    <t>Top Domains in Tweet in Entire Graph</t>
  </si>
  <si>
    <t>Top Domains in Tweet in G1</t>
  </si>
  <si>
    <t>Top Domains in Tweet in G2</t>
  </si>
  <si>
    <t>Top Domains in Tweet</t>
  </si>
  <si>
    <t>Top Hashtags in Tweet in Entire Graph</t>
  </si>
  <si>
    <t>Top Hashtags in Tweet in G1</t>
  </si>
  <si>
    <t>Top Hashtags in Tweet in G2</t>
  </si>
  <si>
    <t>Top Hashtags in Tweet</t>
  </si>
  <si>
    <t>Top Words in Tweet in Entire Graph</t>
  </si>
  <si>
    <t>Words in Sentiment List#1: Positive</t>
  </si>
  <si>
    <t>Words in Sentiment List#2: Negative</t>
  </si>
  <si>
    <t>Words in Sentiment List#3: Angry/Violent</t>
  </si>
  <si>
    <t>Non-categorized Words</t>
  </si>
  <si>
    <t>Total Words</t>
  </si>
  <si>
    <t>aan</t>
  </si>
  <si>
    <t>ontwikkeling</t>
  </si>
  <si>
    <t>van</t>
  </si>
  <si>
    <t>nieuw</t>
  </si>
  <si>
    <t>radar</t>
  </si>
  <si>
    <t>Top Words in Tweet in G1</t>
  </si>
  <si>
    <t>defensiebijdrage</t>
  </si>
  <si>
    <t>vuurleidingssysteem</t>
  </si>
  <si>
    <t>door</t>
  </si>
  <si>
    <t>thales</t>
  </si>
  <si>
    <t>nederland</t>
  </si>
  <si>
    <t>Top Words in Tweet in G2</t>
  </si>
  <si>
    <t>Top Words in Tweet</t>
  </si>
  <si>
    <t>defensiebijdrage aan ontwikkeling van nieuw radar vuurleidingssysteem door thales nederland</t>
  </si>
  <si>
    <t>Top Word Pairs in Tweet in Entire Graph</t>
  </si>
  <si>
    <t>aan,ontwikkeling</t>
  </si>
  <si>
    <t>ontwikkeling,van</t>
  </si>
  <si>
    <t>van,nieuw</t>
  </si>
  <si>
    <t>nieuw,radar</t>
  </si>
  <si>
    <t>radar,vuurleidingssysteem</t>
  </si>
  <si>
    <t>vuurleidingssysteem,door</t>
  </si>
  <si>
    <t>door,thales</t>
  </si>
  <si>
    <t>thales,nederland</t>
  </si>
  <si>
    <t>defensiebijdrage,aan</t>
  </si>
  <si>
    <t>nederland,vmff</t>
  </si>
  <si>
    <t>Top Word Pairs in Tweet in G1</t>
  </si>
  <si>
    <t>Top Word Pairs in Tweet in G2</t>
  </si>
  <si>
    <t>Top Word Pairs in Tweet</t>
  </si>
  <si>
    <t>defensiebijdrage,aan  aan,ontwikkeling  ontwikkeling,van  van,nieuw  nieuw,radar  radar,vuurleidingssysteem  vuurleidingssysteem,door  door,thales  thales,nederland  nederland,vmff</t>
  </si>
  <si>
    <t>Top Replied-To in Entire Graph</t>
  </si>
  <si>
    <t>Top Mentioned in Entire Graph</t>
  </si>
  <si>
    <t>Top Replied-To in G1</t>
  </si>
  <si>
    <t>Top Replied-To in G2</t>
  </si>
  <si>
    <t>Top Mentioned in G1</t>
  </si>
  <si>
    <t>Top Mentioned in G2</t>
  </si>
  <si>
    <t>Top Replied-To in Tweet</t>
  </si>
  <si>
    <t>Top Mentioned in Tweet</t>
  </si>
  <si>
    <t>Top Tweeters in Entire Graph</t>
  </si>
  <si>
    <t>Top Tweeters in G1</t>
  </si>
  <si>
    <t>Top Tweeters in G2</t>
  </si>
  <si>
    <t>Top Tweeters</t>
  </si>
  <si>
    <t>scitecito peterljanssen</t>
  </si>
  <si>
    <t>Top URLs in Tweet by Count</t>
  </si>
  <si>
    <t>Top URLs in Tweet by Salience</t>
  </si>
  <si>
    <t>Top Domains in Tweet by Count</t>
  </si>
  <si>
    <t>Top Domains in Tweet by Salience</t>
  </si>
  <si>
    <t>Top Hashtags in Tweet by Count</t>
  </si>
  <si>
    <t>Top Hashtags in Tweet by Salience</t>
  </si>
  <si>
    <t>Top Words in Tweet by Count</t>
  </si>
  <si>
    <t>defensie bijdrage aan de ontwikkeling van een nieuw radar en</t>
  </si>
  <si>
    <t>defensiebijdrage aan de ontwikkeling van een nieuw radar en vuurleidingssysteem</t>
  </si>
  <si>
    <t>scitecito defensiebijdrage aan de ontwikkeling van een nieuw radar en</t>
  </si>
  <si>
    <t>Top Words in Tweet by Salience</t>
  </si>
  <si>
    <t>Top Word Pairs in Tweet by Count</t>
  </si>
  <si>
    <t>defensie,bijdrage  bijdrage,aan  aan,de  de,ontwikkeling  ontwikkeling,van  van,een  een,nieuw  nieuw,radar  radar,en  en,vuurleidingssysteem</t>
  </si>
  <si>
    <t>defensiebijdrage,aan  aan,de  de,ontwikkeling  ontwikkeling,van  van,een  een,nieuw  nieuw,radar  radar,en  en,vuurleidingssysteem  vuurleidingssysteem,door</t>
  </si>
  <si>
    <t>scitecito,defensiebijdrage  defensiebijdrage,aan  aan,de  de,ontwikkeling  ontwikkeling,van  van,een  een,nieuw  nieuw,radar  radar,en  en,vuurleidingssysteem</t>
  </si>
  <si>
    <t>Top Word Pairs in Tweet by Salience</t>
  </si>
  <si>
    <t>Word</t>
  </si>
  <si>
    <t>Count</t>
  </si>
  <si>
    <t>Salience</t>
  </si>
  <si>
    <t>(Entire graph)</t>
  </si>
  <si>
    <t>Word on Sentiment List #1: Positive</t>
  </si>
  <si>
    <t>Word on Sentiment List #2: Negative</t>
  </si>
  <si>
    <t>Word on Sentiment List #3: Angry/Violent</t>
  </si>
  <si>
    <t>Word 1</t>
  </si>
  <si>
    <t>Word 2</t>
  </si>
  <si>
    <t>Mutual Information</t>
  </si>
  <si>
    <t>Word1 on Sentiment List #1: Positive</t>
  </si>
  <si>
    <t>Word1 on Sentiment List #2: Negative</t>
  </si>
  <si>
    <t>Word1 on Sentiment List #3: Angry/Violent</t>
  </si>
  <si>
    <t>Word2 on Sentiment List #1: Positive</t>
  </si>
  <si>
    <t>Word2 on Sentiment List #2: Negative</t>
  </si>
  <si>
    <t>Word2 on Sentiment List #3: Angry/Violent</t>
  </si>
  <si>
    <t>Sentiment List #1: Positive Word Count</t>
  </si>
  <si>
    <t>Sentiment List #1: Positive Word Percentage (%)</t>
  </si>
  <si>
    <t>Sentiment List #2: Negative Word Count</t>
  </si>
  <si>
    <t>Sentiment List #2: Negative Word Percentage (%)</t>
  </si>
  <si>
    <t>Sentiment List #3: Angry/Violent Word Count</t>
  </si>
  <si>
    <t>Sentiment List #3: Angry/Violent Word Percentage (%)</t>
  </si>
  <si>
    <t>Non-categorized Word Count</t>
  </si>
  <si>
    <t>Non-categorized Word Percentage (%)</t>
  </si>
  <si>
    <t>Edge Content Word Count</t>
  </si>
  <si>
    <t>Vertex Content Word Count</t>
  </si>
  <si>
    <t>Group Content Word Count</t>
  </si>
  <si>
    <t>Group 1</t>
  </si>
  <si>
    <t>Group 2</t>
  </si>
  <si>
    <t>Edges</t>
  </si>
  <si>
    <t>Top 10 Vertices, Ranked by Betweenness Centrality</t>
  </si>
  <si>
    <t>Green</t>
  </si>
  <si>
    <t>G1: defensiebijdrage aan ontwikkeling van nieuw radar vuurleidingssysteem door thales nederland</t>
  </si>
  <si>
    <t>Autofill Workbook Results</t>
  </si>
  <si>
    <t>Edge Weight▓1▓1▓0▓True▓Green▓Red▓▓Edge Weight▓1▓1▓0▓3▓10▓False▓Edge Weight▓1▓1▓0▓32▓6▓False▓▓0▓0▓0▓True▓Black▓Black▓▓Followers▓14▓337▓0▓162▓1000▓False▓Followers▓14▓2007▓0▓100▓70▓False▓▓0▓0▓0▓0▓0▓False▓▓0▓0▓0▓0▓0▓False</t>
  </si>
  <si>
    <t>Subgraph</t>
  </si>
  <si>
    <t>GraphSource░GraphServerTwitterSearch▓GraphTerm░thales nederland▓ImportDescription░The graph represents a network of 3 Twitter users whose tweets in the requested range contained "thales nederland", or who were replied to or mentioned in those tweets.  The network was obtained from the NodeXL Graph Server on Friday, 30 December 2016 at 16:18 UTC._x000D_
_x000D_
The requested start date was Friday, 30 December 2016 at 01:01 UTC and the maximum number of days (going backward) was 14._x000D_
_x000D_
The maximum number of tweets collected was 5,000._x000D_
_x000D_
The tweets in the network were tweeted over the 1-day, 16-hour, 40-minute period from Tuesday, 20 December 2016 at 15:55 UTC to Thursday, 22 December 2016 at 08:36 UTC._x000D_
_x000D_
There is an edge for each "replies-to" relationship in a tweet, an edge for each "mentions" relationship in a tweet, and a self-loop edge for each tweet that is not a "replies-to" or "mentions".▓GroupingDescription░The graph's vertices were grouped by cluster using the Clauset-Newman-Moore cluster algorithm.▓LayoutAlgorithm░The graph was laid out using the Harel-Koren Fast Multiscale layout algorithm.▓GraphDirectedness░The graph is directed.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</si>
</sst>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
  </numFmts>
  <fonts count="14"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charset val="1"/>
    </font>
    <font>
      <sz val="9"/>
      <color indexed="81"/>
      <name val="Tahoma"/>
      <family val="2"/>
    </font>
    <font>
      <sz val="9"/>
      <color indexed="81"/>
      <name val="Tahoma"/>
      <charset val="1"/>
    </font>
    <font>
      <sz val="11"/>
      <color theme="1"/>
      <name val="Calibri"/>
      <scheme val="minor"/>
    </font>
    <font>
      <b/>
      <sz val="9"/>
      <color indexed="81"/>
      <name val="Tahoma"/>
      <family val="2"/>
    </font>
    <font>
      <u/>
      <sz val="11"/>
      <color theme="10"/>
      <name val="Calibri"/>
      <family val="2"/>
      <scheme val="minor"/>
    </font>
  </fonts>
  <fills count="10">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13">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s>
  <cellStyleXfs count="10">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13" fillId="0" borderId="0" applyNumberFormat="0" applyFill="0" applyBorder="0" applyAlignment="0" applyProtection="0"/>
  </cellStyleXfs>
  <cellXfs count="135">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0" fillId="0" borderId="0" xfId="3" applyNumberFormat="1" applyFont="1"/>
    <xf numFmtId="0" fontId="0" fillId="5" borderId="1" xfId="4" applyNumberFormat="1" applyFont="1"/>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11" fillId="5" borderId="1" xfId="4" applyNumberFormat="1" applyFont="1" applyAlignment="1">
      <alignment wrapText="1"/>
    </xf>
    <xf numFmtId="0" fontId="6" fillId="6" borderId="1" xfId="6" applyNumberFormat="1"/>
    <xf numFmtId="0" fontId="5" fillId="4" borderId="1" xfId="5" applyNumberFormat="1" applyAlignment="1">
      <alignment wrapText="1"/>
    </xf>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0" fontId="0" fillId="3" borderId="1" xfId="7" applyNumberFormat="1" applyFont="1"/>
    <xf numFmtId="4" fontId="11" fillId="9" borderId="5" xfId="0" applyNumberFormat="1" applyFont="1" applyFill="1" applyBorder="1"/>
    <xf numFmtId="0" fontId="11" fillId="9" borderId="6" xfId="0" applyNumberFormat="1" applyFont="1" applyFill="1" applyBorder="1"/>
    <xf numFmtId="0" fontId="11" fillId="9" borderId="5" xfId="0" applyNumberFormat="1" applyFont="1" applyFill="1" applyBorder="1"/>
    <xf numFmtId="1" fontId="0" fillId="5" borderId="1" xfId="4" applyNumberFormat="1" applyFont="1"/>
    <xf numFmtId="0" fontId="0" fillId="2" borderId="1" xfId="1" applyNumberFormat="1" applyFont="1"/>
    <xf numFmtId="0" fontId="11" fillId="2" borderId="1" xfId="1" applyNumberFormat="1" applyFont="1" applyAlignment="1">
      <alignment wrapText="1"/>
    </xf>
    <xf numFmtId="49" fontId="0" fillId="0" borderId="0" xfId="3" applyNumberFormat="1" applyFont="1" applyAlignment="1"/>
    <xf numFmtId="0" fontId="0" fillId="0" borderId="0" xfId="0" applyAlignment="1"/>
    <xf numFmtId="0" fontId="0" fillId="0" borderId="0" xfId="0" applyFill="1" applyAlignment="1"/>
    <xf numFmtId="22" fontId="0" fillId="0" borderId="0" xfId="0" applyNumberFormat="1" applyAlignment="1"/>
    <xf numFmtId="22" fontId="0" fillId="0" borderId="0" xfId="0" applyNumberFormat="1" applyFill="1" applyAlignment="1"/>
    <xf numFmtId="0" fontId="13" fillId="0" borderId="0" xfId="9" applyAlignment="1"/>
    <xf numFmtId="0" fontId="13" fillId="0" borderId="0" xfId="9" applyFill="1" applyAlignment="1"/>
    <xf numFmtId="0" fontId="0" fillId="0" borderId="0" xfId="0" quotePrefix="1" applyAlignment="1"/>
    <xf numFmtId="0" fontId="0" fillId="0" borderId="0" xfId="0" quotePrefix="1" applyFill="1" applyAlignment="1"/>
    <xf numFmtId="164" fontId="0" fillId="5" borderId="1" xfId="4" applyNumberFormat="1" applyFont="1"/>
    <xf numFmtId="164" fontId="0" fillId="3" borderId="1" xfId="7" applyNumberFormat="1" applyFont="1"/>
    <xf numFmtId="165" fontId="0" fillId="3" borderId="1" xfId="7" applyNumberFormat="1" applyFont="1"/>
    <xf numFmtId="166" fontId="0" fillId="3" borderId="1" xfId="7" applyNumberFormat="1" applyFont="1"/>
    <xf numFmtId="1" fontId="11" fillId="4" borderId="1" xfId="5" applyNumberFormat="1" applyFont="1" applyAlignment="1"/>
    <xf numFmtId="0" fontId="0" fillId="0" borderId="0" xfId="2" applyNumberFormat="1" applyFont="1"/>
    <xf numFmtId="49" fontId="0" fillId="0" borderId="0" xfId="3" applyNumberFormat="1" applyFont="1" applyBorder="1"/>
    <xf numFmtId="0" fontId="0" fillId="5" borderId="11" xfId="4" applyNumberFormat="1" applyFont="1" applyBorder="1"/>
    <xf numFmtId="164" fontId="0" fillId="5" borderId="11" xfId="4" applyNumberFormat="1" applyFont="1" applyBorder="1"/>
    <xf numFmtId="1" fontId="0" fillId="5" borderId="11" xfId="4" applyNumberFormat="1" applyFont="1" applyBorder="1"/>
    <xf numFmtId="49" fontId="6" fillId="6" borderId="11" xfId="6" applyNumberFormat="1" applyBorder="1"/>
    <xf numFmtId="0" fontId="6" fillId="6" borderId="11" xfId="6" applyNumberFormat="1" applyBorder="1"/>
    <xf numFmtId="164" fontId="0" fillId="3" borderId="11" xfId="7" applyNumberFormat="1" applyFont="1" applyBorder="1"/>
    <xf numFmtId="165" fontId="0" fillId="3" borderId="11" xfId="7" applyNumberFormat="1" applyFont="1" applyBorder="1"/>
    <xf numFmtId="0" fontId="0" fillId="3" borderId="11" xfId="7" applyNumberFormat="1" applyFont="1" applyBorder="1"/>
    <xf numFmtId="166" fontId="0" fillId="3" borderId="11" xfId="7" applyNumberFormat="1" applyFont="1" applyBorder="1"/>
    <xf numFmtId="1" fontId="11" fillId="4" borderId="11" xfId="5" applyNumberFormat="1" applyFont="1" applyBorder="1" applyAlignment="1"/>
    <xf numFmtId="0" fontId="0" fillId="2" borderId="11" xfId="1" applyNumberFormat="1" applyFont="1" applyBorder="1"/>
    <xf numFmtId="0" fontId="0" fillId="0" borderId="0" xfId="2" applyNumberFormat="1" applyFont="1" applyBorder="1"/>
    <xf numFmtId="0" fontId="13" fillId="5" borderId="1" xfId="9" applyNumberFormat="1" applyFill="1" applyBorder="1" applyAlignment="1"/>
    <xf numFmtId="0" fontId="13" fillId="5" borderId="11" xfId="9" applyNumberFormat="1" applyFill="1" applyBorder="1" applyAlignment="1"/>
    <xf numFmtId="49" fontId="6" fillId="6" borderId="1" xfId="6" applyNumberFormat="1" applyAlignment="1"/>
    <xf numFmtId="49" fontId="6" fillId="6" borderId="11" xfId="6" applyNumberFormat="1" applyBorder="1" applyAlignment="1"/>
    <xf numFmtId="0" fontId="0" fillId="5" borderId="12" xfId="4" applyNumberFormat="1" applyFont="1" applyBorder="1"/>
    <xf numFmtId="0" fontId="11" fillId="5" borderId="12" xfId="4" applyNumberFormat="1" applyFont="1" applyBorder="1"/>
    <xf numFmtId="49" fontId="6" fillId="6" borderId="12" xfId="6" applyNumberFormat="1" applyBorder="1"/>
    <xf numFmtId="0" fontId="0" fillId="3" borderId="12" xfId="7" applyNumberFormat="1" applyFont="1" applyBorder="1"/>
    <xf numFmtId="0" fontId="11" fillId="2" borderId="12" xfId="1" applyNumberFormat="1" applyFont="1" applyBorder="1"/>
    <xf numFmtId="0" fontId="5" fillId="2" borderId="12" xfId="1" applyNumberFormat="1" applyBorder="1"/>
    <xf numFmtId="0" fontId="11" fillId="5" borderId="11" xfId="4" applyNumberFormat="1" applyFont="1" applyBorder="1"/>
    <xf numFmtId="0" fontId="11" fillId="2" borderId="11" xfId="1" applyNumberFormat="1" applyFont="1" applyBorder="1"/>
    <xf numFmtId="49" fontId="0" fillId="0" borderId="0" xfId="0" applyNumberFormat="1" applyAlignment="1"/>
    <xf numFmtId="49" fontId="0" fillId="0" borderId="0" xfId="3" applyNumberFormat="1" applyFont="1" applyBorder="1" applyAlignment="1"/>
    <xf numFmtId="0" fontId="0" fillId="5" borderId="1" xfId="4" applyNumberFormat="1" applyFont="1" applyAlignment="1"/>
    <xf numFmtId="0" fontId="5" fillId="5" borderId="1" xfId="8" applyNumberFormat="1" applyAlignment="1"/>
    <xf numFmtId="49" fontId="5" fillId="4" borderId="1" xfId="5" applyNumberFormat="1" applyAlignment="1">
      <alignment wrapText="1"/>
    </xf>
    <xf numFmtId="1" fontId="5" fillId="4" borderId="1" xfId="5" quotePrefix="1" applyNumberFormat="1" applyAlignment="1"/>
    <xf numFmtId="167" fontId="0" fillId="0" borderId="0" xfId="0" applyNumberFormat="1" applyAlignment="1"/>
    <xf numFmtId="167" fontId="0" fillId="0" borderId="0" xfId="0" quotePrefix="1" applyNumberFormat="1" applyAlignment="1"/>
    <xf numFmtId="167" fontId="5" fillId="4" borderId="1" xfId="5" quotePrefix="1" applyNumberFormat="1" applyAlignment="1"/>
    <xf numFmtId="0" fontId="0" fillId="0" borderId="0" xfId="3" applyFont="1" applyAlignment="1"/>
    <xf numFmtId="0" fontId="0" fillId="0" borderId="0" xfId="3" applyFont="1" applyAlignment="1">
      <alignment wrapText="1"/>
    </xf>
  </cellXfs>
  <cellStyles count="10">
    <cellStyle name="Hyperlink" xfId="9" builtinId="8"/>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s>
  <dxfs count="298">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1" indent="0" justifyLastLine="0" shrinkToFit="0" readingOrder="0"/>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border>
    </dxf>
    <dxf>
      <numFmt numFmtId="1" formatCode="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numFmt numFmtId="1" formatCode="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numFmt numFmtId="167" formatCode="0.00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numFmt numFmtId="30" formatCode="@"/>
    </dxf>
    <dxf>
      <numFmt numFmtId="30" formatCode="@"/>
    </dxf>
    <dxf>
      <font>
        <b val="0"/>
        <i val="0"/>
        <strike val="0"/>
        <condense val="0"/>
        <extend val="0"/>
        <outline val="0"/>
        <shadow val="0"/>
        <u val="none"/>
        <vertAlign val="baseline"/>
        <sz val="11"/>
        <color theme="1"/>
        <name val="Calibri"/>
        <scheme val="minor"/>
      </font>
      <numFmt numFmtId="0" formatCode="General"/>
    </dxf>
    <dxf>
      <numFmt numFmtId="30" formatCode="@"/>
    </dxf>
    <dxf>
      <alignment horizontal="general" vertical="bottom" textRotation="0" wrapText="1"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dxf>
    <dxf>
      <numFmt numFmtId="0" formatCode="General"/>
    </dxf>
    <dxf>
      <numFmt numFmtId="0" formatCode="General"/>
    </dxf>
    <dxf>
      <numFmt numFmtId="166" formatCode="#,##0.000"/>
    </dxf>
    <dxf>
      <numFmt numFmtId="166" formatCode="#,##0.000"/>
    </dxf>
    <dxf>
      <numFmt numFmtId="0" formatCode="General"/>
    </dxf>
    <dxf>
      <numFmt numFmtId="165" formatCode="#,##0.0"/>
    </dxf>
    <dxf>
      <numFmt numFmtId="165" formatCode="#,##0.0"/>
    </dxf>
    <dxf>
      <numFmt numFmtId="164" formatCode="0.0"/>
      <border outline="0">
        <left style="thin">
          <color theme="0"/>
        </left>
      </border>
    </dxf>
    <dxf>
      <numFmt numFmtId="30" formatCode="@"/>
      <alignment horizontal="general" vertical="bottom" textRotation="0" wrapText="0" indent="0" justifyLastLine="0" shrinkToFit="0" readingOrder="0"/>
    </dxf>
    <dxf>
      <numFmt numFmtId="0" formatCode="General"/>
      <border outline="0">
        <right style="thin">
          <color theme="0"/>
        </right>
      </border>
    </dxf>
    <dxf>
      <numFmt numFmtId="0" formatCode="General"/>
    </dxf>
    <dxf>
      <numFmt numFmtId="30" formatCode="@"/>
    </dxf>
    <dxf>
      <numFmt numFmtId="0" formatCode="General"/>
      <border outline="0">
        <left style="thin">
          <color theme="0"/>
        </left>
      </border>
    </dxf>
    <dxf>
      <numFmt numFmtId="0" formatCode="General"/>
      <alignment horizontal="general" vertical="bottom" textRotation="0" wrapText="0" indent="0" justifyLastLine="0" shrinkToFit="0" readingOrder="0"/>
    </dxf>
    <dxf>
      <numFmt numFmtId="1" formatCode="0"/>
      <border outline="0">
        <right style="thin">
          <color theme="0"/>
        </right>
      </border>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297"/>
      <tableStyleElement type="headerRow" dxfId="296"/>
    </tableStyle>
    <tableStyle name="NodeXL Table" pivot="0" count="1">
      <tableStyleElement type="headerRow" dxfId="29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0</c:v>
                </c:pt>
              </c:strCache>
            </c:strRef>
          </c:tx>
          <c:spPr>
            <a:solidFill>
              <a:schemeClr val="accent1"/>
            </a:solidFill>
          </c:spPr>
          <c:invertIfNegative val="0"/>
          <c:cat>
            <c:numRef>
              <c:f>'Overall Metrics'!$D$2:$D$57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Metrics'!$E$2:$E$57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ser>
        <c:dLbls>
          <c:showLegendKey val="0"/>
          <c:showVal val="0"/>
          <c:showCatName val="0"/>
          <c:showSerName val="0"/>
          <c:showPercent val="0"/>
          <c:showBubbleSize val="0"/>
        </c:dLbls>
        <c:gapWidth val="0"/>
        <c:axId val="90831360"/>
        <c:axId val="154823440"/>
      </c:barChart>
      <c:catAx>
        <c:axId val="90831360"/>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54823440"/>
        <c:crosses val="autoZero"/>
        <c:auto val="1"/>
        <c:lblAlgn val="ctr"/>
        <c:lblOffset val="100"/>
        <c:noMultiLvlLbl val="0"/>
      </c:catAx>
      <c:valAx>
        <c:axId val="1548234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908313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1</c:v>
                </c:pt>
              </c:strCache>
            </c:strRef>
          </c:tx>
          <c:spPr>
            <a:solidFill>
              <a:schemeClr val="accent1"/>
            </a:solidFill>
          </c:spPr>
          <c:invertIfNegative val="0"/>
          <c:cat>
            <c:numRef>
              <c:f>'Overall Metrics'!$F$2:$F$57</c:f>
              <c:numCache>
                <c:formatCode>#,##0.00</c:formatCode>
                <c:ptCount val="56"/>
                <c:pt idx="0">
                  <c:v>0</c:v>
                </c:pt>
                <c:pt idx="1">
                  <c:v>3.6363636363636362E-2</c:v>
                </c:pt>
                <c:pt idx="2">
                  <c:v>7.2727272727272724E-2</c:v>
                </c:pt>
                <c:pt idx="3">
                  <c:v>0.10909090909090909</c:v>
                </c:pt>
                <c:pt idx="4">
                  <c:v>0.14545454545454545</c:v>
                </c:pt>
                <c:pt idx="5">
                  <c:v>0.18181818181818182</c:v>
                </c:pt>
                <c:pt idx="6">
                  <c:v>0.2181818181818182</c:v>
                </c:pt>
                <c:pt idx="7">
                  <c:v>0.25454545454545457</c:v>
                </c:pt>
                <c:pt idx="8">
                  <c:v>0.29090909090909095</c:v>
                </c:pt>
                <c:pt idx="9">
                  <c:v>0.32727272727272733</c:v>
                </c:pt>
                <c:pt idx="10">
                  <c:v>0.3636363636363637</c:v>
                </c:pt>
                <c:pt idx="11">
                  <c:v>0.40000000000000008</c:v>
                </c:pt>
                <c:pt idx="12">
                  <c:v>0.43636363636363645</c:v>
                </c:pt>
                <c:pt idx="13">
                  <c:v>0.47272727272727283</c:v>
                </c:pt>
                <c:pt idx="14">
                  <c:v>0.50909090909090915</c:v>
                </c:pt>
                <c:pt idx="15">
                  <c:v>0.54545454545454553</c:v>
                </c:pt>
                <c:pt idx="16">
                  <c:v>0.5818181818181819</c:v>
                </c:pt>
                <c:pt idx="17">
                  <c:v>0.61818181818181828</c:v>
                </c:pt>
                <c:pt idx="18">
                  <c:v>0.65454545454545465</c:v>
                </c:pt>
                <c:pt idx="19">
                  <c:v>0.69090909090909103</c:v>
                </c:pt>
                <c:pt idx="20">
                  <c:v>0.7272727272727274</c:v>
                </c:pt>
                <c:pt idx="21">
                  <c:v>0.76363636363636378</c:v>
                </c:pt>
                <c:pt idx="22">
                  <c:v>0.80000000000000016</c:v>
                </c:pt>
                <c:pt idx="23">
                  <c:v>0.83636363636363653</c:v>
                </c:pt>
                <c:pt idx="24">
                  <c:v>0.87272727272727291</c:v>
                </c:pt>
                <c:pt idx="26">
                  <c:v>0.90909090909090928</c:v>
                </c:pt>
                <c:pt idx="38">
                  <c:v>0.94545454545454566</c:v>
                </c:pt>
                <c:pt idx="39">
                  <c:v>0.98181818181818203</c:v>
                </c:pt>
                <c:pt idx="40">
                  <c:v>1.0181818181818183</c:v>
                </c:pt>
                <c:pt idx="41">
                  <c:v>1.0545454545454547</c:v>
                </c:pt>
                <c:pt idx="42">
                  <c:v>1.0909090909090911</c:v>
                </c:pt>
                <c:pt idx="43">
                  <c:v>1.1272727272727274</c:v>
                </c:pt>
                <c:pt idx="44">
                  <c:v>1.1636363636363638</c:v>
                </c:pt>
                <c:pt idx="45">
                  <c:v>1.2000000000000002</c:v>
                </c:pt>
                <c:pt idx="46">
                  <c:v>1.2363636363636366</c:v>
                </c:pt>
                <c:pt idx="47">
                  <c:v>1.2727272727272729</c:v>
                </c:pt>
                <c:pt idx="48">
                  <c:v>1.3090909090909093</c:v>
                </c:pt>
                <c:pt idx="49">
                  <c:v>1.3454545454545457</c:v>
                </c:pt>
                <c:pt idx="50">
                  <c:v>1.3818181818181821</c:v>
                </c:pt>
                <c:pt idx="51">
                  <c:v>1.4181818181818184</c:v>
                </c:pt>
                <c:pt idx="52">
                  <c:v>1.4545454545454548</c:v>
                </c:pt>
                <c:pt idx="53">
                  <c:v>1.4909090909090912</c:v>
                </c:pt>
                <c:pt idx="54">
                  <c:v>1.5272727272727276</c:v>
                </c:pt>
                <c:pt idx="55">
                  <c:v>2</c:v>
                </c:pt>
              </c:numCache>
            </c:numRef>
          </c:cat>
          <c:val>
            <c:numRef>
              <c:f>'Overall Metrics'!$G$2:$G$57</c:f>
              <c:numCache>
                <c:formatCode>General</c:formatCode>
                <c:ptCount val="56"/>
                <c:pt idx="0">
                  <c:v>1</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-2</c:v>
                </c:pt>
                <c:pt idx="26">
                  <c:v>0</c:v>
                </c:pt>
                <c:pt idx="27">
                  <c:v>0</c:v>
                </c:pt>
                <c:pt idx="28">
                  <c:v>0</c:v>
                </c:pt>
                <c:pt idx="29">
                  <c:v>0</c:v>
                </c:pt>
                <c:pt idx="30">
                  <c:v>0</c:v>
                </c:pt>
                <c:pt idx="31">
                  <c:v>0</c:v>
                </c:pt>
                <c:pt idx="32">
                  <c:v>0</c:v>
                </c:pt>
                <c:pt idx="33">
                  <c:v>0</c:v>
                </c:pt>
                <c:pt idx="34">
                  <c:v>0</c:v>
                </c:pt>
                <c:pt idx="35">
                  <c:v>0</c:v>
                </c:pt>
                <c:pt idx="36">
                  <c:v>-2</c:v>
                </c:pt>
                <c:pt idx="37">
                  <c:v>-2</c:v>
                </c:pt>
                <c:pt idx="38">
                  <c:v>0</c:v>
                </c:pt>
                <c:pt idx="39">
                  <c:v>1</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ser>
        <c:dLbls>
          <c:showLegendKey val="0"/>
          <c:showVal val="0"/>
          <c:showCatName val="0"/>
          <c:showSerName val="0"/>
          <c:showPercent val="0"/>
          <c:showBubbleSize val="0"/>
        </c:dLbls>
        <c:gapWidth val="0"/>
        <c:axId val="154825680"/>
        <c:axId val="154826240"/>
      </c:barChart>
      <c:catAx>
        <c:axId val="154825680"/>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54826240"/>
        <c:crosses val="autoZero"/>
        <c:auto val="1"/>
        <c:lblAlgn val="ctr"/>
        <c:lblOffset val="100"/>
        <c:noMultiLvlLbl val="0"/>
      </c:catAx>
      <c:valAx>
        <c:axId val="1548262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54825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6">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-3</c:v>
                </c:pt>
                <c:pt idx="26">
                  <c:v>0</c:v>
                </c:pt>
                <c:pt idx="27">
                  <c:v>0</c:v>
                </c:pt>
                <c:pt idx="28">
                  <c:v>0</c:v>
                </c:pt>
                <c:pt idx="29">
                  <c:v>0</c:v>
                </c:pt>
                <c:pt idx="30">
                  <c:v>0</c:v>
                </c:pt>
                <c:pt idx="31">
                  <c:v>0</c:v>
                </c:pt>
                <c:pt idx="32">
                  <c:v>0</c:v>
                </c:pt>
                <c:pt idx="33">
                  <c:v>0</c:v>
                </c:pt>
                <c:pt idx="34">
                  <c:v>0</c:v>
                </c:pt>
                <c:pt idx="35">
                  <c:v>0</c:v>
                </c:pt>
                <c:pt idx="36">
                  <c:v>-3</c:v>
                </c:pt>
                <c:pt idx="37">
                  <c:v>-3</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3</c:v>
                </c:pt>
              </c:numCache>
            </c:numRef>
          </c:val>
        </c:ser>
        <c:dLbls>
          <c:showLegendKey val="0"/>
          <c:showVal val="0"/>
          <c:showCatName val="0"/>
          <c:showSerName val="0"/>
          <c:showPercent val="0"/>
          <c:showBubbleSize val="0"/>
        </c:dLbls>
        <c:gapWidth val="0"/>
        <c:axId val="154828480"/>
        <c:axId val="154829040"/>
      </c:barChart>
      <c:catAx>
        <c:axId val="15482848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54829040"/>
        <c:crosses val="autoZero"/>
        <c:auto val="1"/>
        <c:lblAlgn val="ctr"/>
        <c:lblOffset val="100"/>
        <c:noMultiLvlLbl val="0"/>
      </c:catAx>
      <c:valAx>
        <c:axId val="154829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548284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0</c:v>
                </c:pt>
              </c:strCache>
            </c:strRef>
          </c:tx>
          <c:spPr>
            <a:solidFill>
              <a:schemeClr val="accent1"/>
            </a:solidFill>
          </c:spPr>
          <c:invertIfNegative val="0"/>
          <c:cat>
            <c:numRef>
              <c:f>'Overall Metrics'!$J$2:$J$57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Metrics'!$K$2:$K$57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-3</c:v>
                </c:pt>
                <c:pt idx="26">
                  <c:v>0</c:v>
                </c:pt>
                <c:pt idx="27">
                  <c:v>0</c:v>
                </c:pt>
                <c:pt idx="28">
                  <c:v>0</c:v>
                </c:pt>
                <c:pt idx="29">
                  <c:v>0</c:v>
                </c:pt>
                <c:pt idx="30">
                  <c:v>0</c:v>
                </c:pt>
                <c:pt idx="31">
                  <c:v>0</c:v>
                </c:pt>
                <c:pt idx="32">
                  <c:v>0</c:v>
                </c:pt>
                <c:pt idx="33">
                  <c:v>0</c:v>
                </c:pt>
                <c:pt idx="34">
                  <c:v>0</c:v>
                </c:pt>
                <c:pt idx="35">
                  <c:v>0</c:v>
                </c:pt>
                <c:pt idx="36">
                  <c:v>-3</c:v>
                </c:pt>
                <c:pt idx="37">
                  <c:v>-3</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3</c:v>
                </c:pt>
              </c:numCache>
            </c:numRef>
          </c:val>
        </c:ser>
        <c:dLbls>
          <c:showLegendKey val="0"/>
          <c:showVal val="0"/>
          <c:showCatName val="0"/>
          <c:showSerName val="0"/>
          <c:showPercent val="0"/>
          <c:showBubbleSize val="0"/>
        </c:dLbls>
        <c:gapWidth val="0"/>
        <c:axId val="154996208"/>
        <c:axId val="154996768"/>
      </c:barChart>
      <c:catAx>
        <c:axId val="154996208"/>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54996768"/>
        <c:crosses val="autoZero"/>
        <c:auto val="1"/>
        <c:lblAlgn val="ctr"/>
        <c:lblOffset val="100"/>
        <c:noMultiLvlLbl val="0"/>
      </c:catAx>
      <c:valAx>
        <c:axId val="1549967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5499620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1</c:v>
                </c:pt>
              </c:strCache>
            </c:strRef>
          </c:tx>
          <c:spPr>
            <a:solidFill>
              <a:schemeClr val="accent1"/>
            </a:solidFill>
          </c:spPr>
          <c:invertIfNegative val="0"/>
          <c:cat>
            <c:numRef>
              <c:f>'Overall Metrics'!$L$2:$L$57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Metrics'!$M$2:$M$57</c:f>
              <c:numCache>
                <c:formatCode>General</c:formatCode>
                <c:ptCount val="56"/>
                <c:pt idx="0">
                  <c:v>1</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-2</c:v>
                </c:pt>
                <c:pt idx="26">
                  <c:v>0</c:v>
                </c:pt>
                <c:pt idx="27">
                  <c:v>0</c:v>
                </c:pt>
                <c:pt idx="28">
                  <c:v>0</c:v>
                </c:pt>
                <c:pt idx="29">
                  <c:v>0</c:v>
                </c:pt>
                <c:pt idx="30">
                  <c:v>0</c:v>
                </c:pt>
                <c:pt idx="31">
                  <c:v>0</c:v>
                </c:pt>
                <c:pt idx="32">
                  <c:v>0</c:v>
                </c:pt>
                <c:pt idx="33">
                  <c:v>0</c:v>
                </c:pt>
                <c:pt idx="34">
                  <c:v>0</c:v>
                </c:pt>
                <c:pt idx="35">
                  <c:v>0</c:v>
                </c:pt>
                <c:pt idx="36">
                  <c:v>-2</c:v>
                </c:pt>
                <c:pt idx="37">
                  <c:v>-2</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2</c:v>
                </c:pt>
              </c:numCache>
            </c:numRef>
          </c:val>
        </c:ser>
        <c:dLbls>
          <c:showLegendKey val="0"/>
          <c:showVal val="0"/>
          <c:showCatName val="0"/>
          <c:showSerName val="0"/>
          <c:showPercent val="0"/>
          <c:showBubbleSize val="0"/>
        </c:dLbls>
        <c:gapWidth val="0"/>
        <c:axId val="154999008"/>
        <c:axId val="154999568"/>
      </c:barChart>
      <c:catAx>
        <c:axId val="154999008"/>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154999568"/>
        <c:crosses val="autoZero"/>
        <c:auto val="1"/>
        <c:lblAlgn val="ctr"/>
        <c:lblOffset val="100"/>
        <c:noMultiLvlLbl val="0"/>
      </c:catAx>
      <c:valAx>
        <c:axId val="1549995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5499900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1</c:v>
                </c:pt>
              </c:strCache>
            </c:strRef>
          </c:tx>
          <c:spPr>
            <a:solidFill>
              <a:schemeClr val="accent1"/>
            </a:solidFill>
          </c:spPr>
          <c:invertIfNegative val="0"/>
          <c:cat>
            <c:numRef>
              <c:f>'Overall Metrics'!$N$2:$N$57</c:f>
              <c:numCache>
                <c:formatCode>#,##0.00</c:formatCode>
                <c:ptCount val="56"/>
                <c:pt idx="0">
                  <c:v>0.111111</c:v>
                </c:pt>
                <c:pt idx="1">
                  <c:v>0.11919181818181818</c:v>
                </c:pt>
                <c:pt idx="2">
                  <c:v>0.12727263636363637</c:v>
                </c:pt>
                <c:pt idx="3">
                  <c:v>0.13535345454545455</c:v>
                </c:pt>
                <c:pt idx="4">
                  <c:v>0.14343427272727274</c:v>
                </c:pt>
                <c:pt idx="5">
                  <c:v>0.15151509090909093</c:v>
                </c:pt>
                <c:pt idx="6">
                  <c:v>0.15959590909090912</c:v>
                </c:pt>
                <c:pt idx="7">
                  <c:v>0.16767672727272731</c:v>
                </c:pt>
                <c:pt idx="8">
                  <c:v>0.1757575454545455</c:v>
                </c:pt>
                <c:pt idx="9">
                  <c:v>0.18383836363636369</c:v>
                </c:pt>
                <c:pt idx="10">
                  <c:v>0.19191918181818188</c:v>
                </c:pt>
                <c:pt idx="11">
                  <c:v>0.20000000000000007</c:v>
                </c:pt>
                <c:pt idx="12">
                  <c:v>0.20808081818181826</c:v>
                </c:pt>
                <c:pt idx="13">
                  <c:v>0.21616163636363644</c:v>
                </c:pt>
                <c:pt idx="14">
                  <c:v>0.22424245454545463</c:v>
                </c:pt>
                <c:pt idx="15">
                  <c:v>0.23232327272727282</c:v>
                </c:pt>
                <c:pt idx="16">
                  <c:v>0.24040409090909101</c:v>
                </c:pt>
                <c:pt idx="17">
                  <c:v>0.2484849090909092</c:v>
                </c:pt>
                <c:pt idx="18">
                  <c:v>0.25656572727272736</c:v>
                </c:pt>
                <c:pt idx="19">
                  <c:v>0.26464654545454552</c:v>
                </c:pt>
                <c:pt idx="20">
                  <c:v>0.27272736363636368</c:v>
                </c:pt>
                <c:pt idx="21">
                  <c:v>0.28080818181818185</c:v>
                </c:pt>
                <c:pt idx="22">
                  <c:v>0.28888900000000001</c:v>
                </c:pt>
                <c:pt idx="23">
                  <c:v>0.29696981818181817</c:v>
                </c:pt>
                <c:pt idx="24">
                  <c:v>0.30505063636363633</c:v>
                </c:pt>
                <c:pt idx="26">
                  <c:v>0.31313145454545449</c:v>
                </c:pt>
                <c:pt idx="38">
                  <c:v>0.32121227272727265</c:v>
                </c:pt>
                <c:pt idx="39">
                  <c:v>0.32929309090909081</c:v>
                </c:pt>
                <c:pt idx="40">
                  <c:v>0.33737390909090897</c:v>
                </c:pt>
                <c:pt idx="41">
                  <c:v>0.34545472727272714</c:v>
                </c:pt>
                <c:pt idx="42">
                  <c:v>0.3535355454545453</c:v>
                </c:pt>
                <c:pt idx="43">
                  <c:v>0.36161636363636346</c:v>
                </c:pt>
                <c:pt idx="44">
                  <c:v>0.36969718181818162</c:v>
                </c:pt>
                <c:pt idx="45">
                  <c:v>0.37777799999999978</c:v>
                </c:pt>
                <c:pt idx="46">
                  <c:v>0.38585881818181794</c:v>
                </c:pt>
                <c:pt idx="47">
                  <c:v>0.3939396363636361</c:v>
                </c:pt>
                <c:pt idx="48">
                  <c:v>0.40202045454545426</c:v>
                </c:pt>
                <c:pt idx="49">
                  <c:v>0.41010127272727243</c:v>
                </c:pt>
                <c:pt idx="50">
                  <c:v>0.41818209090909059</c:v>
                </c:pt>
                <c:pt idx="51">
                  <c:v>0.42626290909090875</c:v>
                </c:pt>
                <c:pt idx="52">
                  <c:v>0.43434372727272691</c:v>
                </c:pt>
                <c:pt idx="53">
                  <c:v>0.44242454545454507</c:v>
                </c:pt>
                <c:pt idx="54">
                  <c:v>0.45050536363636323</c:v>
                </c:pt>
                <c:pt idx="55">
                  <c:v>0.55555600000000005</c:v>
                </c:pt>
              </c:numCache>
            </c:numRef>
          </c:cat>
          <c:val>
            <c:numRef>
              <c:f>'Overall Metrics'!$O$2:$O$57</c:f>
              <c:numCache>
                <c:formatCode>General</c:formatCode>
                <c:ptCount val="56"/>
                <c:pt idx="0">
                  <c:v>1</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-2</c:v>
                </c:pt>
                <c:pt idx="26">
                  <c:v>0</c:v>
                </c:pt>
                <c:pt idx="27">
                  <c:v>0</c:v>
                </c:pt>
                <c:pt idx="28">
                  <c:v>0</c:v>
                </c:pt>
                <c:pt idx="29">
                  <c:v>0</c:v>
                </c:pt>
                <c:pt idx="30">
                  <c:v>0</c:v>
                </c:pt>
                <c:pt idx="31">
                  <c:v>0</c:v>
                </c:pt>
                <c:pt idx="32">
                  <c:v>0</c:v>
                </c:pt>
                <c:pt idx="33">
                  <c:v>0</c:v>
                </c:pt>
                <c:pt idx="34">
                  <c:v>0</c:v>
                </c:pt>
                <c:pt idx="35">
                  <c:v>0</c:v>
                </c:pt>
                <c:pt idx="36">
                  <c:v>-2</c:v>
                </c:pt>
                <c:pt idx="37">
                  <c:v>-2</c:v>
                </c:pt>
                <c:pt idx="38">
                  <c:v>0</c:v>
                </c:pt>
                <c:pt idx="39">
                  <c:v>1</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ser>
        <c:dLbls>
          <c:showLegendKey val="0"/>
          <c:showVal val="0"/>
          <c:showCatName val="0"/>
          <c:showSerName val="0"/>
          <c:showPercent val="0"/>
          <c:showBubbleSize val="0"/>
        </c:dLbls>
        <c:gapWidth val="0"/>
        <c:axId val="155001808"/>
        <c:axId val="155002368"/>
      </c:barChart>
      <c:catAx>
        <c:axId val="155001808"/>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155002368"/>
        <c:crosses val="autoZero"/>
        <c:auto val="1"/>
        <c:lblAlgn val="ctr"/>
        <c:lblOffset val="100"/>
        <c:noMultiLvlLbl val="0"/>
      </c:catAx>
      <c:valAx>
        <c:axId val="1550023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5500180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0</c:v>
                </c:pt>
              </c:strCache>
            </c:strRef>
          </c:tx>
          <c:spPr>
            <a:solidFill>
              <a:schemeClr val="accent1"/>
            </a:solidFill>
          </c:spPr>
          <c:invertIfNegative val="0"/>
          <c:cat>
            <c:numRef>
              <c:f>'Overall Metrics'!$R$2:$R$57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Metrics'!$S$2:$S$57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-3</c:v>
                </c:pt>
                <c:pt idx="26">
                  <c:v>0</c:v>
                </c:pt>
                <c:pt idx="27">
                  <c:v>0</c:v>
                </c:pt>
                <c:pt idx="28">
                  <c:v>0</c:v>
                </c:pt>
                <c:pt idx="29">
                  <c:v>0</c:v>
                </c:pt>
                <c:pt idx="30">
                  <c:v>0</c:v>
                </c:pt>
                <c:pt idx="31">
                  <c:v>0</c:v>
                </c:pt>
                <c:pt idx="32">
                  <c:v>0</c:v>
                </c:pt>
                <c:pt idx="33">
                  <c:v>0</c:v>
                </c:pt>
                <c:pt idx="34">
                  <c:v>0</c:v>
                </c:pt>
                <c:pt idx="35">
                  <c:v>0</c:v>
                </c:pt>
                <c:pt idx="36">
                  <c:v>-3</c:v>
                </c:pt>
                <c:pt idx="37">
                  <c:v>-3</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3</c:v>
                </c:pt>
              </c:numCache>
            </c:numRef>
          </c:val>
        </c:ser>
        <c:dLbls>
          <c:showLegendKey val="0"/>
          <c:showVal val="0"/>
          <c:showCatName val="0"/>
          <c:showSerName val="0"/>
          <c:showPercent val="0"/>
          <c:showBubbleSize val="0"/>
        </c:dLbls>
        <c:gapWidth val="0"/>
        <c:axId val="155024880"/>
        <c:axId val="155025440"/>
      </c:barChart>
      <c:catAx>
        <c:axId val="155024880"/>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155025440"/>
        <c:crosses val="autoZero"/>
        <c:auto val="1"/>
        <c:lblAlgn val="ctr"/>
        <c:lblOffset val="100"/>
        <c:noMultiLvlLbl val="0"/>
      </c:catAx>
      <c:valAx>
        <c:axId val="1550254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550248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1</c:v>
                </c:pt>
              </c:strCache>
            </c:strRef>
          </c:tx>
          <c:spPr>
            <a:solidFill>
              <a:schemeClr val="accent1"/>
            </a:solidFill>
          </c:spPr>
          <c:invertIfNegative val="0"/>
          <c:cat>
            <c:numRef>
              <c:f>'Overall Metrics'!$R$2:$R$57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Metrics'!$Q$2:$Q$57</c:f>
              <c:numCache>
                <c:formatCode>General</c:formatCode>
                <c:ptCount val="56"/>
                <c:pt idx="0">
                  <c:v>1</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1</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c:v>
                </c:pt>
              </c:numCache>
            </c:numRef>
          </c:val>
        </c:ser>
        <c:dLbls>
          <c:showLegendKey val="0"/>
          <c:showVal val="0"/>
          <c:showCatName val="0"/>
          <c:showSerName val="0"/>
          <c:showPercent val="0"/>
          <c:showBubbleSize val="0"/>
        </c:dLbls>
        <c:gapWidth val="0"/>
        <c:axId val="155027680"/>
        <c:axId val="155028240"/>
      </c:barChart>
      <c:catAx>
        <c:axId val="155027680"/>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155028240"/>
        <c:crosses val="autoZero"/>
        <c:auto val="1"/>
        <c:lblAlgn val="ctr"/>
        <c:lblOffset val="100"/>
        <c:noMultiLvlLbl val="0"/>
      </c:catAx>
      <c:valAx>
        <c:axId val="1550282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5502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ser>
        <c:dLbls>
          <c:showLegendKey val="0"/>
          <c:showVal val="0"/>
          <c:showCatName val="0"/>
          <c:showSerName val="0"/>
          <c:showPercent val="0"/>
          <c:showBubbleSize val="0"/>
        </c:dLbls>
        <c:gapWidth val="0"/>
        <c:axId val="156356240"/>
        <c:axId val="156356800"/>
      </c:barChart>
      <c:catAx>
        <c:axId val="156356240"/>
        <c:scaling>
          <c:orientation val="minMax"/>
        </c:scaling>
        <c:delete val="1"/>
        <c:axPos val="b"/>
        <c:numFmt formatCode="#,##0.00" sourceLinked="1"/>
        <c:majorTickMark val="out"/>
        <c:minorTickMark val="none"/>
        <c:tickLblPos val="none"/>
        <c:crossAx val="156356800"/>
        <c:crosses val="autoZero"/>
        <c:auto val="1"/>
        <c:lblAlgn val="ctr"/>
        <c:lblOffset val="100"/>
        <c:noMultiLvlLbl val="0"/>
      </c:catAx>
      <c:valAx>
        <c:axId val="156356800"/>
        <c:scaling>
          <c:orientation val="minMax"/>
        </c:scaling>
        <c:delete val="1"/>
        <c:axPos val="l"/>
        <c:numFmt formatCode="General" sourceLinked="1"/>
        <c:majorTickMark val="out"/>
        <c:minorTickMark val="none"/>
        <c:tickLblPos val="none"/>
        <c:crossAx val="156356240"/>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1</xdr:col>
      <xdr:colOff>25400</xdr:colOff>
      <xdr:row>2</xdr:row>
      <xdr:rowOff>25400</xdr:rowOff>
    </xdr:from>
    <xdr:to>
      <xdr:col>1</xdr:col>
      <xdr:colOff>749300</xdr:colOff>
      <xdr:row>2</xdr:row>
      <xdr:rowOff>501650</xdr:rowOff>
    </xdr:to>
    <xdr:pic>
      <xdr:nvPicPr>
        <xdr:cNvPr id="2" name="Subgraph-df_lex"/>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5000" y="596900"/>
          <a:ext cx="723900" cy="476250"/>
        </a:xfrm>
        <a:prstGeom prst="rect">
          <a:avLst/>
        </a:prstGeom>
      </xdr:spPr>
    </xdr:pic>
    <xdr:clientData/>
  </xdr:twoCellAnchor>
  <xdr:twoCellAnchor editAs="oneCell">
    <xdr:from>
      <xdr:col>1</xdr:col>
      <xdr:colOff>25400</xdr:colOff>
      <xdr:row>3</xdr:row>
      <xdr:rowOff>25400</xdr:rowOff>
    </xdr:from>
    <xdr:to>
      <xdr:col>1</xdr:col>
      <xdr:colOff>749300</xdr:colOff>
      <xdr:row>3</xdr:row>
      <xdr:rowOff>501650</xdr:rowOff>
    </xdr:to>
    <xdr:pic>
      <xdr:nvPicPr>
        <xdr:cNvPr id="3" name="Subgraph-scitecito"/>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35000" y="1120775"/>
          <a:ext cx="723900" cy="476250"/>
        </a:xfrm>
        <a:prstGeom prst="rect">
          <a:avLst/>
        </a:prstGeom>
      </xdr:spPr>
    </xdr:pic>
    <xdr:clientData/>
  </xdr:twoCellAnchor>
  <xdr:twoCellAnchor editAs="oneCell">
    <xdr:from>
      <xdr:col>1</xdr:col>
      <xdr:colOff>25400</xdr:colOff>
      <xdr:row>4</xdr:row>
      <xdr:rowOff>25400</xdr:rowOff>
    </xdr:from>
    <xdr:to>
      <xdr:col>1</xdr:col>
      <xdr:colOff>749300</xdr:colOff>
      <xdr:row>4</xdr:row>
      <xdr:rowOff>501650</xdr:rowOff>
    </xdr:to>
    <xdr:pic>
      <xdr:nvPicPr>
        <xdr:cNvPr id="4" name="Subgraph-peterljanssen"/>
        <xdr:cNvPicPr>
          <a:picLocks/>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35000" y="1644650"/>
          <a:ext cx="723900"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BG5" totalsRowShown="0" headerRowDxfId="294" dataDxfId="293">
  <autoFilter ref="A2:BG5"/>
  <tableColumns count="59">
    <tableColumn id="1" name="Vertex 1" dataDxfId="292" dataCellStyle="NodeXL Required"/>
    <tableColumn id="2" name="Vertex 2" dataDxfId="291" dataCellStyle="NodeXL Required"/>
    <tableColumn id="3" name="Color" dataDxfId="290" dataCellStyle="NodeXL Visual Property"/>
    <tableColumn id="4" name="Width" dataDxfId="289" dataCellStyle="NodeXL Visual Property"/>
    <tableColumn id="11" name="Style" dataDxfId="288" dataCellStyle="NodeXL Visual Property"/>
    <tableColumn id="5" name="Opacity" dataDxfId="287" dataCellStyle="NodeXL Visual Property"/>
    <tableColumn id="6" name="Visibility" dataDxfId="286" dataCellStyle="NodeXL Visual Property"/>
    <tableColumn id="10" name="Label" dataDxfId="285" dataCellStyle="NodeXL Label"/>
    <tableColumn id="12" name="Label Text Color" dataDxfId="284" dataCellStyle="NodeXL Label"/>
    <tableColumn id="13" name="Label Font Size" dataDxfId="283" dataCellStyle="NodeXL Label"/>
    <tableColumn id="14" name="Reciprocated?" dataDxfId="13" dataCellStyle="NodeXL Graph Metric"/>
    <tableColumn id="7" name="ID" dataDxfId="282" dataCellStyle="NodeXL Do Not Edit"/>
    <tableColumn id="9" name="Dynamic Filter" dataDxfId="281" dataCellStyle="NodeXL Do Not Edit"/>
    <tableColumn id="8" name="Add Your Own Columns Here" dataDxfId="280" dataCellStyle="NodeXL Other Column"/>
    <tableColumn id="15" name="Relationship" dataDxfId="279" dataCellStyle="Normal"/>
    <tableColumn id="16" name="Relationship Date (UTC)" dataDxfId="278" dataCellStyle="Normal"/>
    <tableColumn id="17" name="Tweet" dataDxfId="277" dataCellStyle="Normal"/>
    <tableColumn id="18" name="URLs in Tweet" dataDxfId="276" dataCellStyle="Normal"/>
    <tableColumn id="19" name="Domains in Tweet" dataDxfId="275" dataCellStyle="Normal"/>
    <tableColumn id="20" name="Hashtags in Tweet" dataDxfId="274" dataCellStyle="Normal"/>
    <tableColumn id="21" name="Tweet Date (UTC)" dataDxfId="273" dataCellStyle="Normal"/>
    <tableColumn id="22" name="Twitter Page for Tweet" dataDxfId="272" dataCellStyle="Normal"/>
    <tableColumn id="23" name="Latitude" dataDxfId="271" dataCellStyle="Normal"/>
    <tableColumn id="24" name="Longitude" dataDxfId="270" dataCellStyle="Normal"/>
    <tableColumn id="25" name="Imported ID" dataDxfId="269" dataCellStyle="Normal"/>
    <tableColumn id="26" name="In-Reply-To Tweet ID" dataDxfId="268" dataCellStyle="Normal"/>
    <tableColumn id="27" name="Favorited" dataDxfId="267" dataCellStyle="Normal"/>
    <tableColumn id="28" name="Favorite Count" dataDxfId="266" dataCellStyle="Normal"/>
    <tableColumn id="29" name="In-Reply-To User ID" dataDxfId="265" dataCellStyle="Normal"/>
    <tableColumn id="30" name="Is Quote Status" dataDxfId="264" dataCellStyle="Normal"/>
    <tableColumn id="31" name="Language" dataDxfId="263" dataCellStyle="Normal"/>
    <tableColumn id="32" name="Possibly Sensitive" dataDxfId="262" dataCellStyle="Normal"/>
    <tableColumn id="33" name="Quoted Status ID" dataDxfId="261" dataCellStyle="Normal"/>
    <tableColumn id="34" name="Retweeted" dataDxfId="260" dataCellStyle="Normal"/>
    <tableColumn id="35" name="Retweet Count" dataDxfId="259" dataCellStyle="Normal"/>
    <tableColumn id="36" name="Retweet ID" dataDxfId="258" dataCellStyle="Normal"/>
    <tableColumn id="37" name="Source" dataDxfId="257" dataCellStyle="Normal"/>
    <tableColumn id="38" name="Truncated" dataDxfId="256" dataCellStyle="Normal"/>
    <tableColumn id="39" name="Unified Twitter ID" dataDxfId="255" dataCellStyle="Normal"/>
    <tableColumn id="40" name="Place Bounding Box" dataDxfId="254" dataCellStyle="Normal"/>
    <tableColumn id="41" name="Place Country" dataDxfId="253" dataCellStyle="Normal"/>
    <tableColumn id="42" name="Place Country Code" dataDxfId="252" dataCellStyle="Normal"/>
    <tableColumn id="43" name="Place Full Name" dataDxfId="251" dataCellStyle="Normal"/>
    <tableColumn id="44" name="Place ID" dataDxfId="250" dataCellStyle="Normal"/>
    <tableColumn id="45" name="Place Name" dataDxfId="249" dataCellStyle="Normal"/>
    <tableColumn id="46" name="Place Type" dataDxfId="248" dataCellStyle="Normal"/>
    <tableColumn id="47" name="Place URL" dataDxfId="247" dataCellStyle="Normal"/>
    <tableColumn id="48" name="Edge Weight" dataCellStyle="Normal"/>
    <tableColumn id="49" name="Vertex 1 Group" dataDxfId="170" dataCellStyle="Normal">
      <calculatedColumnFormula>REPLACE(INDEX(GroupVertices[Group], MATCH(Edges[[#This Row],[Vertex 1]],GroupVertices[Vertex],0)),1,1,"")</calculatedColumnFormula>
    </tableColumn>
    <tableColumn id="50" name="Vertex 2 Group" dataDxfId="48" dataCellStyle="Normal">
      <calculatedColumnFormula>REPLACE(INDEX(GroupVertices[Group], MATCH(Edges[[#This Row],[Vertex 2]],GroupVertices[Vertex],0)),1,1,"")</calculatedColumnFormula>
    </tableColumn>
    <tableColumn id="51" name="Sentiment List #1: Positive Word Count" dataDxfId="47" dataCellStyle="NodeXL Graph Metric"/>
    <tableColumn id="52" name="Sentiment List #1: Positive Word Percentage (%)" dataDxfId="46" dataCellStyle="NodeXL Graph Metric"/>
    <tableColumn id="53" name="Sentiment List #2: Negative Word Count" dataDxfId="45" dataCellStyle="NodeXL Graph Metric"/>
    <tableColumn id="54" name="Sentiment List #2: Negative Word Percentage (%)" dataDxfId="44" dataCellStyle="NodeXL Graph Metric"/>
    <tableColumn id="55" name="Sentiment List #3: Angry/Violent Word Count" dataDxfId="43" dataCellStyle="NodeXL Graph Metric"/>
    <tableColumn id="56" name="Sentiment List #3: Angry/Violent Word Percentage (%)" dataDxfId="42" dataCellStyle="NodeXL Graph Metric"/>
    <tableColumn id="57" name="Non-categorized Word Count" dataDxfId="41" dataCellStyle="NodeXL Graph Metric"/>
    <tableColumn id="58" name="Non-categorized Word Percentage (%)" dataDxfId="40" dataCellStyle="NodeXL Graph Metric"/>
    <tableColumn id="59" name="Edge Content Word Count" dataDxfId="39" dataCellStyle="NodeXL Graph Metric"/>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179">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TwitterSearchNetworkTopItems_1" displayName="TwitterSearchNetworkTopItems_1" ref="A1:F2" totalsRowShown="0" headerRowDxfId="153" dataDxfId="152" dataCellStyle="Hyperlink">
  <autoFilter ref="A1:F2"/>
  <tableColumns count="6">
    <tableColumn id="1" name="Top URLs in Tweet in Entire Graph" dataDxfId="151" dataCellStyle="Hyperlink"/>
    <tableColumn id="2" name="Entire Graph Count" dataDxfId="150" dataCellStyle="Normal"/>
    <tableColumn id="3" name="Top URLs in Tweet in G1" dataDxfId="149" dataCellStyle="Hyperlink"/>
    <tableColumn id="4" name="G1 Count" dataDxfId="148" dataCellStyle="Normal"/>
    <tableColumn id="5" name="Top URLs in Tweet in G2" dataDxfId="147" dataCellStyle="Hyperlink"/>
    <tableColumn id="6" name="G2 Count" dataDxfId="146" dataCellStyle="Normal"/>
  </tableColumns>
  <tableStyleInfo name="NodeXL Table" showFirstColumn="0" showLastColumn="0" showRowStripes="1" showColumnStripes="0"/>
</table>
</file>

<file path=xl/tables/table12.xml><?xml version="1.0" encoding="utf-8"?>
<table xmlns="http://schemas.openxmlformats.org/spreadsheetml/2006/main" id="11" name="TwitterSearchNetworkTopItems_2" displayName="TwitterSearchNetworkTopItems_2" ref="A5:F6" totalsRowShown="0" headerRowDxfId="144" dataDxfId="143" dataCellStyle="Normal">
  <autoFilter ref="A5:F6"/>
  <tableColumns count="6">
    <tableColumn id="1" name="Top Domains in Tweet in Entire Graph" dataDxfId="142" dataCellStyle="Normal"/>
    <tableColumn id="2" name="Entire Graph Count" dataDxfId="141" dataCellStyle="Normal"/>
    <tableColumn id="3" name="Top Domains in Tweet in G1" dataDxfId="140" dataCellStyle="Normal"/>
    <tableColumn id="4" name="G1 Count" dataDxfId="139" dataCellStyle="Normal"/>
    <tableColumn id="5" name="Top Domains in Tweet in G2" dataDxfId="138" dataCellStyle="Normal"/>
    <tableColumn id="6" name="G2 Count" dataDxfId="137" dataCellStyle="Normal"/>
  </tableColumns>
  <tableStyleInfo name="NodeXL Table" showFirstColumn="0" showLastColumn="0" showRowStripes="1" showColumnStripes="0"/>
</table>
</file>

<file path=xl/tables/table13.xml><?xml version="1.0" encoding="utf-8"?>
<table xmlns="http://schemas.openxmlformats.org/spreadsheetml/2006/main" id="12" name="TwitterSearchNetworkTopItems_3" displayName="TwitterSearchNetworkTopItems_3" ref="A9:F11" totalsRowShown="0" headerRowDxfId="135" dataDxfId="134" dataCellStyle="Normal">
  <autoFilter ref="A9:F11"/>
  <tableColumns count="6">
    <tableColumn id="1" name="Top Hashtags in Tweet in Entire Graph" dataDxfId="133" dataCellStyle="Normal"/>
    <tableColumn id="2" name="Entire Graph Count" dataDxfId="132" dataCellStyle="Normal"/>
    <tableColumn id="3" name="Top Hashtags in Tweet in G1" dataDxfId="131" dataCellStyle="Normal"/>
    <tableColumn id="4" name="G1 Count" dataDxfId="130" dataCellStyle="Normal"/>
    <tableColumn id="5" name="Top Hashtags in Tweet in G2" dataDxfId="129" dataCellStyle="Normal"/>
    <tableColumn id="6" name="G2 Count" dataDxfId="128" dataCellStyle="Normal"/>
  </tableColumns>
  <tableStyleInfo name="NodeXL Table" showFirstColumn="0" showLastColumn="0" showRowStripes="1" showColumnStripes="0"/>
</table>
</file>

<file path=xl/tables/table14.xml><?xml version="1.0" encoding="utf-8"?>
<table xmlns="http://schemas.openxmlformats.org/spreadsheetml/2006/main" id="13" name="TwitterSearchNetworkTopItems_4" displayName="TwitterSearchNetworkTopItems_4" ref="A14:F24" totalsRowShown="0" headerRowDxfId="126" dataDxfId="125" dataCellStyle="Normal">
  <autoFilter ref="A14:F24"/>
  <tableColumns count="6">
    <tableColumn id="1" name="Top Words in Tweet in Entire Graph" dataDxfId="124" dataCellStyle="Normal"/>
    <tableColumn id="2" name="Entire Graph Count" dataDxfId="123" dataCellStyle="Normal"/>
    <tableColumn id="3" name="Top Words in Tweet in G1" dataDxfId="122" dataCellStyle="Normal"/>
    <tableColumn id="4" name="G1 Count" dataDxfId="121" dataCellStyle="Normal"/>
    <tableColumn id="5" name="Top Words in Tweet in G2" dataDxfId="120" dataCellStyle="Normal"/>
    <tableColumn id="6" name="G2 Count" dataDxfId="119" dataCellStyle="Normal"/>
  </tableColumns>
  <tableStyleInfo name="NodeXL Table" showFirstColumn="0" showLastColumn="0" showRowStripes="1" showColumnStripes="0"/>
</table>
</file>

<file path=xl/tables/table15.xml><?xml version="1.0" encoding="utf-8"?>
<table xmlns="http://schemas.openxmlformats.org/spreadsheetml/2006/main" id="14" name="TwitterSearchNetworkTopItems_5" displayName="TwitterSearchNetworkTopItems_5" ref="A27:F37" totalsRowShown="0" headerRowDxfId="117" dataDxfId="116" dataCellStyle="Normal">
  <autoFilter ref="A27:F37"/>
  <tableColumns count="6">
    <tableColumn id="1" name="Top Word Pairs in Tweet in Entire Graph" dataDxfId="115" dataCellStyle="Normal"/>
    <tableColumn id="2" name="Entire Graph Count" dataDxfId="114" dataCellStyle="Normal"/>
    <tableColumn id="3" name="Top Word Pairs in Tweet in G1" dataDxfId="113" dataCellStyle="Normal"/>
    <tableColumn id="4" name="G1 Count" dataDxfId="112" dataCellStyle="Normal"/>
    <tableColumn id="5" name="Top Word Pairs in Tweet in G2" dataDxfId="111" dataCellStyle="Normal"/>
    <tableColumn id="6" name="G2 Count" dataDxfId="110" dataCellStyle="Normal"/>
  </tableColumns>
  <tableStyleInfo name="NodeXL Table" showFirstColumn="0" showLastColumn="0" showRowStripes="1" showColumnStripes="0"/>
</table>
</file>

<file path=xl/tables/table16.xml><?xml version="1.0" encoding="utf-8"?>
<table xmlns="http://schemas.openxmlformats.org/spreadsheetml/2006/main" id="16" name="TwitterSearchNetworkTopItems_6" displayName="TwitterSearchNetworkTopItems_6" ref="A40:F41" totalsRowShown="0" headerRowDxfId="108" dataDxfId="107" dataCellStyle="Normal">
  <autoFilter ref="A40:F41"/>
  <tableColumns count="6">
    <tableColumn id="1" name="Top Replied-To in Entire Graph" dataDxfId="106" dataCellStyle="Normal"/>
    <tableColumn id="2" name="Entire Graph Count" dataDxfId="102" dataCellStyle="Normal"/>
    <tableColumn id="3" name="Top Replied-To in G1" dataDxfId="101" dataCellStyle="Normal"/>
    <tableColumn id="4" name="G1 Count" dataDxfId="98" dataCellStyle="Normal"/>
    <tableColumn id="5" name="Top Replied-To in G2" dataDxfId="97" dataCellStyle="Normal"/>
    <tableColumn id="6" name="G2 Count" dataDxfId="96" dataCellStyle="Normal"/>
  </tableColumns>
  <tableStyleInfo name="NodeXL Table" showFirstColumn="0" showLastColumn="0" showRowStripes="1" showColumnStripes="0"/>
</table>
</file>

<file path=xl/tables/table17.xml><?xml version="1.0" encoding="utf-8"?>
<table xmlns="http://schemas.openxmlformats.org/spreadsheetml/2006/main" id="17" name="TwitterSearchNetworkTopItems_7" displayName="TwitterSearchNetworkTopItems_7" ref="A43:F44" totalsRowShown="0" headerRowDxfId="105" dataDxfId="104" dataCellStyle="Normal">
  <autoFilter ref="A43:F44"/>
  <tableColumns count="6">
    <tableColumn id="1" name="Top Mentioned in Entire Graph" dataDxfId="103" dataCellStyle="Normal"/>
    <tableColumn id="2" name="Entire Graph Count" dataDxfId="100" dataCellStyle="Normal"/>
    <tableColumn id="3" name="Top Mentioned in G1" dataDxfId="99" dataCellStyle="Normal"/>
    <tableColumn id="4" name="G1 Count" dataDxfId="95" dataCellStyle="Normal"/>
    <tableColumn id="5" name="Top Mentioned in G2" dataDxfId="94" dataCellStyle="Normal"/>
    <tableColumn id="6" name="G2 Count" dataDxfId="93" dataCellStyle="Normal"/>
  </tableColumns>
  <tableStyleInfo name="NodeXL Table" showFirstColumn="0" showLastColumn="0" showRowStripes="1" showColumnStripes="0"/>
</table>
</file>

<file path=xl/tables/table18.xml><?xml version="1.0" encoding="utf-8"?>
<table xmlns="http://schemas.openxmlformats.org/spreadsheetml/2006/main" id="18" name="TwitterSearchNetworkTopItems_8" displayName="TwitterSearchNetworkTopItems_8" ref="A47:F50" totalsRowShown="0" headerRowDxfId="90" dataDxfId="89" dataCellStyle="Normal">
  <autoFilter ref="A47:F50"/>
  <tableColumns count="6">
    <tableColumn id="1" name="Top Tweeters in Entire Graph" dataDxfId="88" dataCellStyle="Normal"/>
    <tableColumn id="2" name="Entire Graph Count" dataDxfId="87" dataCellStyle="Normal"/>
    <tableColumn id="3" name="Top Tweeters in G1" dataDxfId="86" dataCellStyle="Normal"/>
    <tableColumn id="4" name="G1 Count" dataDxfId="85" dataCellStyle="Normal"/>
    <tableColumn id="5" name="Top Tweeters in G2" dataDxfId="84" dataCellStyle="Normal"/>
    <tableColumn id="6" name="G2 Count" dataDxfId="83" dataCellStyle="Normal"/>
  </tableColumns>
  <tableStyleInfo name="NodeXL Table" showFirstColumn="0" showLastColumn="0" showRowStripes="1" showColumnStripes="0"/>
</table>
</file>

<file path=xl/tables/table19.xml><?xml version="1.0" encoding="utf-8"?>
<table xmlns="http://schemas.openxmlformats.org/spreadsheetml/2006/main" id="19" name="Words" displayName="Words" ref="A1:G28" totalsRowShown="0" headerRowDxfId="71" dataDxfId="70" dataCellStyle="Normal">
  <autoFilter ref="A1:G28"/>
  <tableColumns count="7">
    <tableColumn id="1" name="Word" dataDxfId="69" dataCellStyle="Normal"/>
    <tableColumn id="2" name="Count" dataDxfId="68" dataCellStyle="Normal"/>
    <tableColumn id="3" name="Salience" dataDxfId="67" dataCellStyle="Normal"/>
    <tableColumn id="4" name="Group" dataDxfId="66" dataCellStyle="Normal"/>
    <tableColumn id="5" name="Word on Sentiment List #1: Positive" dataDxfId="65" dataCellStyle="Normal"/>
    <tableColumn id="6" name="Word on Sentiment List #2: Negative" dataDxfId="64" dataCellStyle="Normal"/>
    <tableColumn id="7" name="Word on Sentiment List #3: Angry/Violent" dataDxfId="63" dataCellStyle="Normal"/>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BT5" totalsRowShown="0" headerRowDxfId="246" dataDxfId="245">
  <autoFilter ref="A2:BT5"/>
  <tableColumns count="72">
    <tableColumn id="1" name="Vertex" dataDxfId="244" dataCellStyle="NodeXL Required"/>
    <tableColumn id="72" name="Subgraph" dataCellStyle="Normal"/>
    <tableColumn id="2" name="Color" dataDxfId="243" dataCellStyle="NodeXL Visual Property"/>
    <tableColumn id="5" name="Shape" dataDxfId="242" dataCellStyle="NodeXL Visual Property"/>
    <tableColumn id="6" name="Size" dataDxfId="241" dataCellStyle="NodeXL Visual Property"/>
    <tableColumn id="4" name="Opacity" dataDxfId="240" dataCellStyle="NodeXL Visual Property"/>
    <tableColumn id="7" name="Image File" dataDxfId="239" dataCellStyle="NodeXL Visual Property"/>
    <tableColumn id="3" name="Visibility" dataDxfId="238" dataCellStyle="NodeXL Visual Property"/>
    <tableColumn id="10" name="Label" dataDxfId="237" dataCellStyle="NodeXL Label"/>
    <tableColumn id="16" name="Label Fill Color" dataDxfId="236" dataCellStyle="NodeXL Label"/>
    <tableColumn id="9" name="Label Position" dataDxfId="235" dataCellStyle="NodeXL Label"/>
    <tableColumn id="8" name="Tooltip" dataDxfId="234" dataCellStyle="NodeXL Label"/>
    <tableColumn id="18" name="Layout Order" dataDxfId="233" dataCellStyle="NodeXL Layout"/>
    <tableColumn id="13" name="X" dataDxfId="232" dataCellStyle="NodeXL Layout"/>
    <tableColumn id="14" name="Y" dataDxfId="231" dataCellStyle="NodeXL Layout"/>
    <tableColumn id="12" name="Locked?" dataDxfId="230" dataCellStyle="NodeXL Layout"/>
    <tableColumn id="19" name="Polar R" dataDxfId="229" dataCellStyle="NodeXL Layout"/>
    <tableColumn id="20" name="Polar Angle" dataDxfId="228" dataCellStyle="NodeXL Layout"/>
    <tableColumn id="21" name="Degree" dataDxfId="12" dataCellStyle="NodeXL Graph Metric"/>
    <tableColumn id="22" name="In-Degree" dataDxfId="11" dataCellStyle="NodeXL Graph Metric"/>
    <tableColumn id="23" name="Out-Degree" dataDxfId="8" dataCellStyle="NodeXL Graph Metric"/>
    <tableColumn id="24" name="Betweenness Centrality" dataDxfId="7" dataCellStyle="NodeXL Graph Metric"/>
    <tableColumn id="25" name="Closeness Centrality" dataDxfId="6" dataCellStyle="NodeXL Graph Metric"/>
    <tableColumn id="26" name="Eigenvector Centrality" dataDxfId="4" dataCellStyle="NodeXL Graph Metric"/>
    <tableColumn id="15" name="PageRank" dataDxfId="5" dataCellStyle="NodeXL Graph Metric"/>
    <tableColumn id="27" name="Clustering Coefficient" dataDxfId="9" dataCellStyle="NodeXL Graph Metric"/>
    <tableColumn id="29" name="Reciprocated Vertex Pair Ratio" dataDxfId="10" dataCellStyle="NodeXL Graph Metric"/>
    <tableColumn id="11" name="ID" dataDxfId="227" dataCellStyle="NodeXL Do Not Edit"/>
    <tableColumn id="28" name="Dynamic Filter" dataDxfId="226" dataCellStyle="NodeXL Do Not Edit"/>
    <tableColumn id="17" name="Add Your Own Columns Here" dataDxfId="225" dataCellStyle="NodeXL Other Column"/>
    <tableColumn id="30" name="Name" dataDxfId="224" dataCellStyle="Normal"/>
    <tableColumn id="31" name="Followed" dataDxfId="223" dataCellStyle="Normal"/>
    <tableColumn id="32" name="Followers" dataDxfId="222" dataCellStyle="Normal"/>
    <tableColumn id="33" name="Tweets" dataDxfId="221" dataCellStyle="Normal"/>
    <tableColumn id="34" name="Favorites" dataDxfId="220" dataCellStyle="Normal"/>
    <tableColumn id="35" name="Time Zone UTC Offset (Seconds)" dataDxfId="219" dataCellStyle="Normal"/>
    <tableColumn id="36" name="Description" dataDxfId="218" dataCellStyle="Normal"/>
    <tableColumn id="37" name="Location" dataDxfId="217" dataCellStyle="Normal"/>
    <tableColumn id="38" name="Web" dataDxfId="216" dataCellStyle="Normal"/>
    <tableColumn id="39" name="Time Zone" dataDxfId="215" dataCellStyle="Normal"/>
    <tableColumn id="40" name="Joined Twitter Date (UTC)" dataDxfId="214" dataCellStyle="Normal"/>
    <tableColumn id="41" name="Profile Banner Url" dataDxfId="213" dataCellStyle="Normal"/>
    <tableColumn id="42" name="Default Profile" dataDxfId="212" dataCellStyle="Normal"/>
    <tableColumn id="43" name="Default Profile Image" dataDxfId="211" dataCellStyle="Normal"/>
    <tableColumn id="44" name="Geo Enabled" dataDxfId="210" dataCellStyle="Normal"/>
    <tableColumn id="45" name="Language" dataDxfId="209" dataCellStyle="Normal"/>
    <tableColumn id="46" name="Listed Count" dataDxfId="208" dataCellStyle="Normal"/>
    <tableColumn id="47" name="Profile Background Image Url" dataDxfId="207" dataCellStyle="Normal"/>
    <tableColumn id="48" name="Verified" dataDxfId="206" dataCellStyle="Normal"/>
    <tableColumn id="49" name="Custom Menu Item Text" dataDxfId="205" dataCellStyle="Normal"/>
    <tableColumn id="50" name="Custom Menu Item Action" dataDxfId="204" dataCellStyle="Normal"/>
    <tableColumn id="51" name="Tweeted Search Term?" dataDxfId="171" dataCellStyle="Normal"/>
    <tableColumn id="52" name="Vertex Group" dataDxfId="81" dataCellStyle="Normal">
      <calculatedColumnFormula>REPLACE(INDEX(GroupVertices[Group], MATCH(Vertices[[#This Row],[Vertex]],GroupVertices[Vertex],0)),1,1,"")</calculatedColumnFormula>
    </tableColumn>
    <tableColumn id="53" name="Top URLs in Tweet by Count" dataDxfId="80" dataCellStyle="NodeXL Graph Metric"/>
    <tableColumn id="54" name="Top URLs in Tweet by Salience" dataDxfId="79" dataCellStyle="NodeXL Graph Metric"/>
    <tableColumn id="55" name="Top Domains in Tweet by Count" dataDxfId="78" dataCellStyle="NodeXL Graph Metric"/>
    <tableColumn id="56" name="Top Domains in Tweet by Salience" dataDxfId="77" dataCellStyle="NodeXL Graph Metric"/>
    <tableColumn id="57" name="Top Hashtags in Tweet by Count" dataDxfId="76" dataCellStyle="NodeXL Graph Metric"/>
    <tableColumn id="58" name="Top Hashtags in Tweet by Salience" dataDxfId="75" dataCellStyle="NodeXL Graph Metric"/>
    <tableColumn id="59" name="Top Words in Tweet by Count" dataDxfId="74" dataCellStyle="NodeXL Graph Metric"/>
    <tableColumn id="60" name="Top Words in Tweet by Salience" dataDxfId="73" dataCellStyle="NodeXL Graph Metric"/>
    <tableColumn id="61" name="Top Word Pairs in Tweet by Count" dataDxfId="72" dataCellStyle="NodeXL Graph Metric"/>
    <tableColumn id="62" name="Top Word Pairs in Tweet by Salience" dataDxfId="38" dataCellStyle="NodeXL Graph Metric"/>
    <tableColumn id="63" name="Sentiment List #1: Positive Word Count" dataDxfId="37" dataCellStyle="NodeXL Graph Metric"/>
    <tableColumn id="64" name="Sentiment List #1: Positive Word Percentage (%)" dataDxfId="36" dataCellStyle="NodeXL Graph Metric"/>
    <tableColumn id="65" name="Sentiment List #2: Negative Word Count" dataDxfId="35" dataCellStyle="NodeXL Graph Metric"/>
    <tableColumn id="66" name="Sentiment List #2: Negative Word Percentage (%)" dataDxfId="34" dataCellStyle="NodeXL Graph Metric"/>
    <tableColumn id="67" name="Sentiment List #3: Angry/Violent Word Count" dataDxfId="33" dataCellStyle="NodeXL Graph Metric"/>
    <tableColumn id="68" name="Sentiment List #3: Angry/Violent Word Percentage (%)" dataDxfId="32" dataCellStyle="NodeXL Graph Metric"/>
    <tableColumn id="69" name="Non-categorized Word Count" dataDxfId="31" dataCellStyle="NodeXL Graph Metric"/>
    <tableColumn id="70" name="Non-categorized Word Percentage (%)" dataDxfId="30" dataCellStyle="NodeXL Graph Metric"/>
    <tableColumn id="71" name="Vertex Content Word Count" dataDxfId="29" dataCellStyle="NodeXL Graph Metric"/>
  </tableColumns>
  <tableStyleInfo name="NodeXL Table" showFirstColumn="0" showLastColumn="0" showRowStripes="0" showColumnStripes="0"/>
</table>
</file>

<file path=xl/tables/table20.xml><?xml version="1.0" encoding="utf-8"?>
<table xmlns="http://schemas.openxmlformats.org/spreadsheetml/2006/main" id="20" name="WordPairs" displayName="WordPairs" ref="A1:L21" totalsRowShown="0" headerRowDxfId="62" dataDxfId="61" dataCellStyle="Normal">
  <autoFilter ref="A1:L21"/>
  <tableColumns count="12">
    <tableColumn id="1" name="Word 1" dataDxfId="60" dataCellStyle="Normal"/>
    <tableColumn id="2" name="Word 2" dataDxfId="59" dataCellStyle="Normal"/>
    <tableColumn id="3" name="Count" dataDxfId="58" dataCellStyle="Normal"/>
    <tableColumn id="4" name="Salience" dataDxfId="57" dataCellStyle="Normal"/>
    <tableColumn id="5" name="Mutual Information" dataDxfId="56" dataCellStyle="Normal"/>
    <tableColumn id="6" name="Group" dataDxfId="55" dataCellStyle="Normal"/>
    <tableColumn id="7" name="Word1 on Sentiment List #1: Positive" dataDxfId="54" dataCellStyle="Normal"/>
    <tableColumn id="8" name="Word1 on Sentiment List #2: Negative" dataDxfId="53" dataCellStyle="Normal"/>
    <tableColumn id="9" name="Word1 on Sentiment List #3: Angry/Violent" dataDxfId="52" dataCellStyle="Normal"/>
    <tableColumn id="10" name="Word2 on Sentiment List #1: Positive" dataDxfId="51" dataCellStyle="Normal"/>
    <tableColumn id="11" name="Word2 on Sentiment List #2: Negative" dataDxfId="50" dataCellStyle="Normal"/>
    <tableColumn id="12" name="Word2 on Sentiment List #3: Angry/Violent" dataDxfId="49" dataCellStyle="Normal"/>
  </tableColumns>
  <tableStyleInfo name="NodeXL Table" showFirstColumn="0" showLastColumn="0" showRowStripes="1" showColumnStripes="0"/>
</table>
</file>

<file path=xl/tables/table21.xml><?xml version="1.0" encoding="utf-8"?>
<table xmlns="http://schemas.openxmlformats.org/spreadsheetml/2006/main" id="21" name="GroupEdges" displayName="GroupEdges" ref="A2:C4" totalsRowShown="0" headerRowDxfId="18" dataDxfId="17" dataCellStyle="NodeXL Required">
  <autoFilter ref="A2:C4"/>
  <tableColumns count="3">
    <tableColumn id="1" name="Group 1" dataDxfId="16" dataCellStyle="NodeXL Required"/>
    <tableColumn id="2" name="Group 2" dataDxfId="15" dataCellStyle="NodeXL Required"/>
    <tableColumn id="3" name="Edges" dataDxfId="14" dataCellStyle="NodeXL Graph Metric"/>
  </tableColumns>
  <tableStyleInfo name="NodeXL Table" showFirstColumn="0" showLastColumn="0" showRowStripes="1" showColumnStripes="0"/>
</table>
</file>

<file path=xl/tables/table22.xml><?xml version="1.0" encoding="utf-8"?>
<table xmlns="http://schemas.openxmlformats.org/spreadsheetml/2006/main" id="22" name="TopItems_1" displayName="TopItems_1" ref="A1:B4" totalsRowShown="0" headerRowDxfId="3" dataDxfId="2" dataCellStyle="Normal">
  <autoFilter ref="A1:B4"/>
  <tableColumns count="2">
    <tableColumn id="1" name="Top 10 Vertices, Ranked by Betweenness Centrality" dataDxfId="1" dataCellStyle="Normal"/>
    <tableColumn id="2" name="Betweenness Centrality" dataDxfId="0" dataCellStyle="Normal"/>
  </tableColumns>
  <tableStyleInfo name="NodeXL Table" showFirstColumn="0" showLastColumn="0" showRowStripes="1" showColumnStripes="0"/>
</table>
</file>

<file path=xl/tables/table3.xml><?xml version="1.0" encoding="utf-8"?>
<table xmlns="http://schemas.openxmlformats.org/spreadsheetml/2006/main" id="4" name="Groups" displayName="Groups" ref="A2:AO4" totalsRowShown="0" headerRowDxfId="203">
  <autoFilter ref="A2:AO4"/>
  <tableColumns count="41">
    <tableColumn id="1" name="Group" dataDxfId="178" dataCellStyle="NodeXL Required"/>
    <tableColumn id="2" name="Vertex Color" dataDxfId="177" dataCellStyle="NodeXL Visual Property"/>
    <tableColumn id="3" name="Vertex Shape" dataDxfId="175" dataCellStyle="NodeXL Visual Property"/>
    <tableColumn id="22" name="Visibility" dataDxfId="176" dataCellStyle="NodeXL Visual Property"/>
    <tableColumn id="4" name="Collapsed?" dataCellStyle="NodeXL Visual Property"/>
    <tableColumn id="18" name="Label" dataDxfId="202" dataCellStyle="NodeXL Label"/>
    <tableColumn id="20" name="Collapsed X" dataCellStyle="NodeXL Layout"/>
    <tableColumn id="21" name="Collapsed Y" dataCellStyle="NodeXL Layout"/>
    <tableColumn id="6" name="ID" dataDxfId="201" dataCellStyle="NodeXL Do Not Edit"/>
    <tableColumn id="19" name="Collapsed Properties" dataDxfId="167" dataCellStyle="NodeXL Do Not Edit"/>
    <tableColumn id="5" name="Vertices" dataDxfId="166" dataCellStyle="NodeXL Graph Metric"/>
    <tableColumn id="7" name="Unique Edges" dataDxfId="165" dataCellStyle="NodeXL Graph Metric"/>
    <tableColumn id="8" name="Edges With Duplicates" dataDxfId="164" dataCellStyle="NodeXL Graph Metric"/>
    <tableColumn id="9" name="Total Edges" dataDxfId="163" dataCellStyle="NodeXL Graph Metric"/>
    <tableColumn id="10" name="Self-Loops" dataDxfId="162" dataCellStyle="NodeXL Graph Metric"/>
    <tableColumn id="24" name="Reciprocated Vertex Pair Ratio" dataDxfId="161" dataCellStyle="NodeXL Graph Metric"/>
    <tableColumn id="25" name="Reciprocated Edge Ratio" dataDxfId="160" dataCellStyle="NodeXL Graph Metric"/>
    <tableColumn id="11" name="Connected Components" dataDxfId="159" dataCellStyle="NodeXL Graph Metric"/>
    <tableColumn id="12" name="Single-Vertex Connected Components" dataDxfId="158" dataCellStyle="NodeXL Graph Metric"/>
    <tableColumn id="13" name="Maximum Vertices in a Connected Component" dataDxfId="157" dataCellStyle="NodeXL Graph Metric"/>
    <tableColumn id="14" name="Maximum Edges in a Connected Component" dataDxfId="156" dataCellStyle="NodeXL Graph Metric"/>
    <tableColumn id="15" name="Maximum Geodesic Distance (Diameter)" dataDxfId="155" dataCellStyle="NodeXL Graph Metric"/>
    <tableColumn id="16" name="Average Geodesic Distance" dataDxfId="154" dataCellStyle="NodeXL Graph Metric"/>
    <tableColumn id="17" name="Graph Density" dataDxfId="145" dataCellStyle="NodeXL Graph Metric"/>
    <tableColumn id="23" name="Top URLs in Tweet" dataDxfId="136" dataCellStyle="Normal"/>
    <tableColumn id="26" name="Top Domains in Tweet" dataDxfId="127" dataCellStyle="Normal"/>
    <tableColumn id="27" name="Top Hashtags in Tweet" dataDxfId="118" dataCellStyle="Normal"/>
    <tableColumn id="28" name="Top Words in Tweet" dataDxfId="109" dataCellStyle="Normal"/>
    <tableColumn id="29" name="Top Word Pairs in Tweet" dataDxfId="92" dataCellStyle="Normal"/>
    <tableColumn id="30" name="Top Replied-To in Tweet" dataDxfId="91" dataCellStyle="Normal"/>
    <tableColumn id="31" name="Top Mentioned in Tweet" dataDxfId="82" dataCellStyle="Normal"/>
    <tableColumn id="32" name="Top Tweeters" dataDxfId="28" dataCellStyle="Normal"/>
    <tableColumn id="33" name="Sentiment List #1: Positive Word Count" dataDxfId="27" dataCellStyle="NodeXL Graph Metric"/>
    <tableColumn id="34" name="Sentiment List #1: Positive Word Percentage (%)" dataDxfId="26" dataCellStyle="NodeXL Graph Metric"/>
    <tableColumn id="35" name="Sentiment List #2: Negative Word Count" dataDxfId="25" dataCellStyle="NodeXL Graph Metric"/>
    <tableColumn id="36" name="Sentiment List #2: Negative Word Percentage (%)" dataDxfId="24" dataCellStyle="NodeXL Graph Metric"/>
    <tableColumn id="37" name="Sentiment List #3: Angry/Violent Word Count" dataDxfId="23" dataCellStyle="NodeXL Graph Metric"/>
    <tableColumn id="38" name="Sentiment List #3: Angry/Violent Word Percentage (%)" dataDxfId="22" dataCellStyle="NodeXL Graph Metric"/>
    <tableColumn id="39" name="Non-categorized Word Count" dataDxfId="21" dataCellStyle="NodeXL Graph Metric"/>
    <tableColumn id="40" name="Non-categorized Word Percentage (%)" dataDxfId="20" dataCellStyle="NodeXL Graph Metric"/>
    <tableColumn id="41" name="Group Content Word Count" dataDxfId="19"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4" totalsRowShown="0" headerRowDxfId="200" dataDxfId="199">
  <autoFilter ref="A1:C4"/>
  <tableColumns count="3">
    <tableColumn id="1" name="Group" dataDxfId="174" dataCellStyle="Normal"/>
    <tableColumn id="2" name="Vertex" dataDxfId="173" dataCellStyle="Normal"/>
    <tableColumn id="3" name="Vertex ID" dataDxfId="172"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dataCellStyle="NodeXL Graph Metric">
  <autoFilter ref="A1:B26"/>
  <tableColumns count="2">
    <tableColumn id="1" name="Graph Metric" dataDxfId="169" dataCellStyle="NodeXL Graph Metric"/>
    <tableColumn id="2" name="Value" dataDxfId="168"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198"/>
    <tableColumn id="2" name="Degree Frequency" dataDxfId="197">
      <calculatedColumnFormula>COUNTIF(Vertices[Degree], "&gt;= " &amp; D2) - COUNTIF(Vertices[Degree], "&gt;=" &amp; D3)</calculatedColumnFormula>
    </tableColumn>
    <tableColumn id="3" name="In-Degree Bin" dataDxfId="196"/>
    <tableColumn id="4" name="In-Degree Frequency" dataDxfId="195">
      <calculatedColumnFormula>COUNTIF(Vertices[In-Degree], "&gt;= " &amp; F2) - COUNTIF(Vertices[In-Degree], "&gt;=" &amp; F3)</calculatedColumnFormula>
    </tableColumn>
    <tableColumn id="5" name="Out-Degree Bin" dataDxfId="194"/>
    <tableColumn id="6" name="Out-Degree Frequency" dataDxfId="193">
      <calculatedColumnFormula>COUNTIF(Vertices[Out-Degree], "&gt;= " &amp; H2) - COUNTIF(Vertices[Out-Degree], "&gt;=" &amp; H3)</calculatedColumnFormula>
    </tableColumn>
    <tableColumn id="7" name="Betweenness Centrality Bin" dataDxfId="192"/>
    <tableColumn id="8" name="Betweenness Centrality Frequency" dataDxfId="191">
      <calculatedColumnFormula>COUNTIF(Vertices[Betweenness Centrality], "&gt;= " &amp; J2) - COUNTIF(Vertices[Betweenness Centrality], "&gt;=" &amp; J3)</calculatedColumnFormula>
    </tableColumn>
    <tableColumn id="9" name="Closeness Centrality Bin" dataDxfId="190"/>
    <tableColumn id="10" name="Closeness Centrality Frequency" dataDxfId="189">
      <calculatedColumnFormula>COUNTIF(Vertices[Closeness Centrality], "&gt;= " &amp; L2) - COUNTIF(Vertices[Closeness Centrality], "&gt;=" &amp; L3)</calculatedColumnFormula>
    </tableColumn>
    <tableColumn id="11" name="Eigenvector Centrality Bin" dataDxfId="188"/>
    <tableColumn id="12" name="Eigenvector Centrality Frequency" dataDxfId="187">
      <calculatedColumnFormula>COUNTIF(Vertices[Eigenvector Centrality], "&gt;= " &amp; N2) - COUNTIF(Vertices[Eigenvector Centrality], "&gt;=" &amp; N3)</calculatedColumnFormula>
    </tableColumn>
    <tableColumn id="18" name="PageRank Bin" dataDxfId="186"/>
    <tableColumn id="17" name="PageRank Frequency" dataDxfId="185">
      <calculatedColumnFormula>COUNTIF(Vertices[Eigenvector Centrality], "&gt;= " &amp; P2) - COUNTIF(Vertices[Eigenvector Centrality], "&gt;=" &amp; P3)</calculatedColumnFormula>
    </tableColumn>
    <tableColumn id="13" name="Clustering Coefficient Bin" dataDxfId="184"/>
    <tableColumn id="14" name="Clustering Coefficient Frequency" dataDxfId="183">
      <calculatedColumnFormula>COUNTIF(Vertices[Clustering Coefficient], "&gt;= " &amp; R2) - COUNTIF(Vertices[Clustering Coefficient], "&gt;=" &amp; R3)</calculatedColumnFormula>
    </tableColumn>
    <tableColumn id="15" name="Dynamic Filter Bin" dataDxfId="182"/>
    <tableColumn id="16" name="Dynamic Filter Frequency" dataDxfId="181">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dataCellStyle="NodeXL Graph Metric">
  <autoFilter ref="A41:B44"/>
  <tableColumns count="2">
    <tableColumn id="1" name="Readability Metric" dataCellStyle="NodeXL Graph Metric"/>
    <tableColumn id="2" name="Value" dataCellStyle="NodeXL Graph Metric"/>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26" totalsRowShown="0" headerRowDxfId="180">
  <autoFilter ref="J1:K26"/>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s://twitter.com/" TargetMode="External"/><Relationship Id="rId7" Type="http://schemas.openxmlformats.org/officeDocument/2006/relationships/printerSettings" Target="../printerSettings/printerSettings1.bin"/><Relationship Id="rId2" Type="http://schemas.openxmlformats.org/officeDocument/2006/relationships/hyperlink" Target="https://www.tweedekamer.nl/kamerstukken/brieven_regering/detail?id=2016Z24507&amp;did=2016D50210" TargetMode="External"/><Relationship Id="rId1" Type="http://schemas.openxmlformats.org/officeDocument/2006/relationships/hyperlink" Target="https://www.tweedekamer.nl/kamerstukken/brieven_regering/detail?id=2016Z24507&amp;did=2016D50210" TargetMode="External"/><Relationship Id="rId6" Type="http://schemas.openxmlformats.org/officeDocument/2006/relationships/hyperlink" Target="https://api.twitter.com/1.1/geo/id/ae01d92f06962b96.json" TargetMode="External"/><Relationship Id="rId5" Type="http://schemas.openxmlformats.org/officeDocument/2006/relationships/hyperlink" Target="https://twitter.com/" TargetMode="External"/><Relationship Id="rId10" Type="http://schemas.openxmlformats.org/officeDocument/2006/relationships/comments" Target="../comments1.xml"/><Relationship Id="rId4" Type="http://schemas.openxmlformats.org/officeDocument/2006/relationships/hyperlink" Target="https://twitter.com/" TargetMode="External"/><Relationship Id="rId9"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2.xml.rels><?xml version="1.0" encoding="UTF-8" standalone="yes"?>
<Relationships xmlns="http://schemas.openxmlformats.org/package/2006/relationships"><Relationship Id="rId8" Type="http://schemas.openxmlformats.org/officeDocument/2006/relationships/hyperlink" Target="http://pbs.twimg.com/profile_images/2541189149/205540_204769096224225_100000734087886_614825_847146_n_normal.jpg" TargetMode="External"/><Relationship Id="rId13" Type="http://schemas.openxmlformats.org/officeDocument/2006/relationships/printerSettings" Target="../printerSettings/printerSettings2.bin"/><Relationship Id="rId3" Type="http://schemas.openxmlformats.org/officeDocument/2006/relationships/hyperlink" Target="https://pbs.twimg.com/profile_banners/3201199204/1476675736" TargetMode="External"/><Relationship Id="rId7" Type="http://schemas.openxmlformats.org/officeDocument/2006/relationships/hyperlink" Target="http://pbs.twimg.com/profile_images/378800000017279568/9519225184ec9d7c1ddd87d5e5c5d5b1_normal.jpeg" TargetMode="External"/><Relationship Id="rId12" Type="http://schemas.openxmlformats.org/officeDocument/2006/relationships/hyperlink" Target="https://twitter.com/peterljanssen" TargetMode="External"/><Relationship Id="rId17" Type="http://schemas.openxmlformats.org/officeDocument/2006/relationships/comments" Target="../comments2.xml"/><Relationship Id="rId2" Type="http://schemas.openxmlformats.org/officeDocument/2006/relationships/hyperlink" Target="https://pbs.twimg.com/profile_banners/779904919/1423901940" TargetMode="External"/><Relationship Id="rId16" Type="http://schemas.openxmlformats.org/officeDocument/2006/relationships/table" Target="../tables/table2.xml"/><Relationship Id="rId1" Type="http://schemas.openxmlformats.org/officeDocument/2006/relationships/hyperlink" Target="http://www.avom-breda.nl/" TargetMode="External"/><Relationship Id="rId6" Type="http://schemas.openxmlformats.org/officeDocument/2006/relationships/hyperlink" Target="http://abs.twimg.com/images/themes/theme1/bg.png" TargetMode="External"/><Relationship Id="rId11" Type="http://schemas.openxmlformats.org/officeDocument/2006/relationships/hyperlink" Target="https://twitter.com/scitecito" TargetMode="External"/><Relationship Id="rId5" Type="http://schemas.openxmlformats.org/officeDocument/2006/relationships/hyperlink" Target="http://abs.twimg.com/images/themes/theme1/bg.png" TargetMode="External"/><Relationship Id="rId15" Type="http://schemas.openxmlformats.org/officeDocument/2006/relationships/vmlDrawing" Target="../drawings/vmlDrawing2.vml"/><Relationship Id="rId10" Type="http://schemas.openxmlformats.org/officeDocument/2006/relationships/hyperlink" Target="https://twitter.com/df_lex" TargetMode="External"/><Relationship Id="rId4" Type="http://schemas.openxmlformats.org/officeDocument/2006/relationships/hyperlink" Target="http://pbs.twimg.com/profile_background_images/527572696247173120/rDYq1ZNA.jpeg" TargetMode="External"/><Relationship Id="rId9" Type="http://schemas.openxmlformats.org/officeDocument/2006/relationships/hyperlink" Target="http://pbs.twimg.com/profile_images/797399975105794048/rnqy3_7g_normal.jpg" TargetMode="External"/><Relationship Id="rId1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8" Type="http://schemas.openxmlformats.org/officeDocument/2006/relationships/table" Target="../tables/table15.xml"/><Relationship Id="rId3" Type="http://schemas.openxmlformats.org/officeDocument/2006/relationships/hyperlink" Target="https://www.tweedekamer.nl/kamerstukken/brieven_regering/detail?id=2016Z24507&amp;did=2016D50210" TargetMode="External"/><Relationship Id="rId7" Type="http://schemas.openxmlformats.org/officeDocument/2006/relationships/table" Target="../tables/table14.xml"/><Relationship Id="rId2" Type="http://schemas.openxmlformats.org/officeDocument/2006/relationships/hyperlink" Target="https://www.tweedekamer.nl/kamerstukken/brieven_regering/detail?id=2016Z24507&amp;did=2016D50210" TargetMode="External"/><Relationship Id="rId1" Type="http://schemas.openxmlformats.org/officeDocument/2006/relationships/hyperlink" Target="https://www.tweedekamer.nl/kamerstukken/brieven_regering/detail?id=2016Z24507&amp;did=2016D50210" TargetMode="External"/><Relationship Id="rId6" Type="http://schemas.openxmlformats.org/officeDocument/2006/relationships/table" Target="../tables/table13.xml"/><Relationship Id="rId11" Type="http://schemas.openxmlformats.org/officeDocument/2006/relationships/table" Target="../tables/table18.xml"/><Relationship Id="rId5" Type="http://schemas.openxmlformats.org/officeDocument/2006/relationships/table" Target="../tables/table12.xml"/><Relationship Id="rId10" Type="http://schemas.openxmlformats.org/officeDocument/2006/relationships/table" Target="../tables/table17.xml"/><Relationship Id="rId4" Type="http://schemas.openxmlformats.org/officeDocument/2006/relationships/table" Target="../tables/table11.xml"/><Relationship Id="rId9" Type="http://schemas.openxmlformats.org/officeDocument/2006/relationships/table" Target="../tables/table16.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BG23"/>
  <sheetViews>
    <sheetView workbookViewId="0">
      <pane xSplit="2" ySplit="2" topLeftCell="C3" activePane="bottomRight" state="frozen"/>
      <selection pane="topRight" activeCell="C1" sqref="C1"/>
      <selection pane="bottomLeft" activeCell="A3" sqref="A3"/>
      <selection pane="bottomRight" activeCell="A3" sqref="A3"/>
    </sheetView>
  </sheetViews>
  <sheetFormatPr defaultRowHeight="15" x14ac:dyDescent="0.25"/>
  <cols>
    <col min="1" max="2" width="10.42578125" style="1" customWidth="1"/>
    <col min="3" max="3" width="7.85546875" style="3" hidden="1" customWidth="1"/>
    <col min="4" max="4" width="8.7109375" style="2" hidden="1" customWidth="1"/>
    <col min="5" max="5" width="7.7109375" style="2" hidden="1" customWidth="1"/>
    <col min="6" max="6" width="9.85546875" style="2" hidden="1" customWidth="1"/>
    <col min="7" max="7" width="11" style="3" hidden="1" customWidth="1"/>
    <col min="8" max="8" width="8" style="1" hidden="1" customWidth="1"/>
    <col min="9" max="9" width="12.28515625" style="3" hidden="1" customWidth="1"/>
    <col min="10" max="10" width="12.42578125" style="3" hidden="1" customWidth="1"/>
    <col min="11" max="11" width="15.5703125" style="3" customWidth="1"/>
    <col min="12" max="12" width="11" hidden="1" customWidth="1"/>
    <col min="13" max="13" width="10.85546875" hidden="1" customWidth="1"/>
    <col min="14" max="14" width="16" bestFit="1" customWidth="1"/>
    <col min="15" max="15" width="12.5703125" bestFit="1" customWidth="1"/>
    <col min="16" max="16" width="14.28515625" bestFit="1" customWidth="1"/>
    <col min="17" max="17" width="8.7109375" bestFit="1" customWidth="1"/>
    <col min="18" max="18" width="9.42578125" bestFit="1" customWidth="1"/>
    <col min="19" max="19" width="13" bestFit="1" customWidth="1"/>
    <col min="20" max="20" width="13.140625" bestFit="1" customWidth="1"/>
    <col min="21" max="21" width="13.28515625" bestFit="1" customWidth="1"/>
    <col min="22" max="22" width="14.28515625" bestFit="1" customWidth="1"/>
    <col min="23" max="23" width="10.42578125" bestFit="1" customWidth="1"/>
    <col min="24" max="24" width="12" bestFit="1" customWidth="1"/>
    <col min="25" max="25" width="11.42578125" bestFit="1" customWidth="1"/>
    <col min="26" max="26" width="13.42578125" bestFit="1" customWidth="1"/>
    <col min="27" max="27" width="11.5703125" bestFit="1" customWidth="1"/>
    <col min="28" max="28" width="10.42578125" bestFit="1" customWidth="1"/>
    <col min="29" max="29" width="13.42578125" bestFit="1" customWidth="1"/>
    <col min="30" max="30" width="10.5703125" bestFit="1" customWidth="1"/>
    <col min="31" max="31" width="11.42578125" bestFit="1" customWidth="1"/>
    <col min="32" max="32" width="11.28515625" bestFit="1" customWidth="1"/>
    <col min="33" max="33" width="10.85546875" bestFit="1" customWidth="1"/>
    <col min="34" max="34" width="11.85546875" bestFit="1" customWidth="1"/>
    <col min="35" max="36" width="10.7109375" bestFit="1" customWidth="1"/>
    <col min="38" max="38" width="12" bestFit="1" customWidth="1"/>
    <col min="39" max="39" width="11.85546875" bestFit="1" customWidth="1"/>
    <col min="40" max="40" width="16.85546875" bestFit="1" customWidth="1"/>
    <col min="41" max="41" width="10.140625" bestFit="1" customWidth="1"/>
    <col min="42" max="42" width="15.42578125" bestFit="1" customWidth="1"/>
    <col min="43" max="43" width="11.5703125" bestFit="1" customWidth="1"/>
    <col min="44" max="44" width="10.140625" bestFit="1" customWidth="1"/>
    <col min="45" max="45" width="8.42578125" bestFit="1" customWidth="1"/>
    <col min="46" max="47" width="7.85546875" bestFit="1" customWidth="1"/>
    <col min="48" max="48" width="14.42578125" customWidth="1"/>
    <col min="49" max="50" width="10.5703125" bestFit="1" customWidth="1"/>
    <col min="51" max="51" width="21.5703125" bestFit="1" customWidth="1"/>
    <col min="52" max="52" width="26.85546875" bestFit="1" customWidth="1"/>
    <col min="53" max="53" width="22.42578125" bestFit="1" customWidth="1"/>
    <col min="54" max="54" width="27.85546875" bestFit="1" customWidth="1"/>
    <col min="55" max="55" width="27.140625" bestFit="1" customWidth="1"/>
    <col min="56" max="56" width="32.5703125" bestFit="1" customWidth="1"/>
    <col min="57" max="57" width="18" bestFit="1" customWidth="1"/>
    <col min="58" max="58" width="22.140625" bestFit="1" customWidth="1"/>
    <col min="59" max="59" width="15" bestFit="1" customWidth="1"/>
  </cols>
  <sheetData>
    <row r="1" spans="1:59" x14ac:dyDescent="0.25">
      <c r="C1" s="18" t="s">
        <v>39</v>
      </c>
      <c r="D1" s="19"/>
      <c r="E1" s="19"/>
      <c r="F1" s="19"/>
      <c r="G1" s="18"/>
      <c r="H1" s="16" t="s">
        <v>43</v>
      </c>
      <c r="I1" s="64"/>
      <c r="J1" s="64"/>
      <c r="K1" s="35" t="s">
        <v>42</v>
      </c>
      <c r="L1" s="20" t="s">
        <v>40</v>
      </c>
      <c r="M1" s="20"/>
      <c r="N1" s="17" t="s">
        <v>41</v>
      </c>
    </row>
    <row r="2" spans="1:59" ht="30" customHeight="1" x14ac:dyDescent="0.25">
      <c r="A2" s="11" t="s">
        <v>0</v>
      </c>
      <c r="B2" s="11" t="s">
        <v>1</v>
      </c>
      <c r="C2" s="13" t="s">
        <v>2</v>
      </c>
      <c r="D2" s="13" t="s">
        <v>3</v>
      </c>
      <c r="E2" s="13" t="s">
        <v>130</v>
      </c>
      <c r="F2" s="13" t="s">
        <v>4</v>
      </c>
      <c r="G2" s="13" t="s">
        <v>11</v>
      </c>
      <c r="H2" s="11" t="s">
        <v>46</v>
      </c>
      <c r="I2" s="13" t="s">
        <v>160</v>
      </c>
      <c r="J2" s="13" t="s">
        <v>161</v>
      </c>
      <c r="K2" s="13" t="s">
        <v>165</v>
      </c>
      <c r="L2" s="13" t="s">
        <v>12</v>
      </c>
      <c r="M2" s="13" t="s">
        <v>38</v>
      </c>
      <c r="N2" s="13" t="s">
        <v>26</v>
      </c>
      <c r="O2" s="13" t="s">
        <v>174</v>
      </c>
      <c r="P2" s="13" t="s">
        <v>175</v>
      </c>
      <c r="Q2" s="13" t="s">
        <v>176</v>
      </c>
      <c r="R2" s="13" t="s">
        <v>177</v>
      </c>
      <c r="S2" s="13" t="s">
        <v>178</v>
      </c>
      <c r="T2" s="13" t="s">
        <v>179</v>
      </c>
      <c r="U2" s="13" t="s">
        <v>180</v>
      </c>
      <c r="V2" s="13" t="s">
        <v>181</v>
      </c>
      <c r="W2" s="13" t="s">
        <v>182</v>
      </c>
      <c r="X2" s="13" t="s">
        <v>183</v>
      </c>
      <c r="Y2" s="13" t="s">
        <v>184</v>
      </c>
      <c r="Z2" s="13" t="s">
        <v>185</v>
      </c>
      <c r="AA2" s="13" t="s">
        <v>186</v>
      </c>
      <c r="AB2" s="13" t="s">
        <v>187</v>
      </c>
      <c r="AC2" s="13" t="s">
        <v>188</v>
      </c>
      <c r="AD2" s="13" t="s">
        <v>189</v>
      </c>
      <c r="AE2" s="13" t="s">
        <v>190</v>
      </c>
      <c r="AF2" s="13" t="s">
        <v>191</v>
      </c>
      <c r="AG2" s="13" t="s">
        <v>192</v>
      </c>
      <c r="AH2" s="13" t="s">
        <v>193</v>
      </c>
      <c r="AI2" s="13" t="s">
        <v>194</v>
      </c>
      <c r="AJ2" s="13" t="s">
        <v>195</v>
      </c>
      <c r="AK2" s="13" t="s">
        <v>196</v>
      </c>
      <c r="AL2" s="13" t="s">
        <v>197</v>
      </c>
      <c r="AM2" s="13" t="s">
        <v>198</v>
      </c>
      <c r="AN2" s="13" t="s">
        <v>199</v>
      </c>
      <c r="AO2" s="13" t="s">
        <v>200</v>
      </c>
      <c r="AP2" s="13" t="s">
        <v>201</v>
      </c>
      <c r="AQ2" s="13" t="s">
        <v>202</v>
      </c>
      <c r="AR2" s="13" t="s">
        <v>203</v>
      </c>
      <c r="AS2" s="13" t="s">
        <v>204</v>
      </c>
      <c r="AT2" s="13" t="s">
        <v>205</v>
      </c>
      <c r="AU2" s="13" t="s">
        <v>206</v>
      </c>
      <c r="AV2" t="s">
        <v>318</v>
      </c>
      <c r="AW2" s="13" t="s">
        <v>324</v>
      </c>
      <c r="AX2" s="13" t="s">
        <v>325</v>
      </c>
      <c r="AY2" s="67" t="s">
        <v>426</v>
      </c>
      <c r="AZ2" s="67" t="s">
        <v>427</v>
      </c>
      <c r="BA2" s="67" t="s">
        <v>428</v>
      </c>
      <c r="BB2" s="67" t="s">
        <v>429</v>
      </c>
      <c r="BC2" s="67" t="s">
        <v>430</v>
      </c>
      <c r="BD2" s="67" t="s">
        <v>431</v>
      </c>
      <c r="BE2" s="67" t="s">
        <v>432</v>
      </c>
      <c r="BF2" s="67" t="s">
        <v>433</v>
      </c>
      <c r="BG2" s="67" t="s">
        <v>434</v>
      </c>
    </row>
    <row r="3" spans="1:59" ht="15" customHeight="1" x14ac:dyDescent="0.25">
      <c r="A3" s="84" t="s">
        <v>207</v>
      </c>
      <c r="B3" s="84" t="s">
        <v>207</v>
      </c>
      <c r="C3" s="53" t="s">
        <v>441</v>
      </c>
      <c r="D3" s="54">
        <v>3</v>
      </c>
      <c r="E3" s="65" t="s">
        <v>132</v>
      </c>
      <c r="F3" s="55">
        <v>32</v>
      </c>
      <c r="G3" s="53"/>
      <c r="H3" s="57"/>
      <c r="I3" s="56"/>
      <c r="J3" s="56"/>
      <c r="K3" s="36" t="s">
        <v>65</v>
      </c>
      <c r="L3" s="62">
        <v>3</v>
      </c>
      <c r="M3" s="62"/>
      <c r="N3" s="63"/>
      <c r="O3" s="85" t="s">
        <v>176</v>
      </c>
      <c r="P3" s="87">
        <v>42724.663680555554</v>
      </c>
      <c r="Q3" s="85" t="s">
        <v>211</v>
      </c>
      <c r="R3" s="89" t="s">
        <v>214</v>
      </c>
      <c r="S3" s="85" t="s">
        <v>215</v>
      </c>
      <c r="T3" s="85" t="s">
        <v>216</v>
      </c>
      <c r="U3" s="87">
        <v>42724.663680555554</v>
      </c>
      <c r="V3" s="89" t="s">
        <v>218</v>
      </c>
      <c r="W3" s="85"/>
      <c r="X3" s="85"/>
      <c r="Y3" s="91" t="s">
        <v>221</v>
      </c>
      <c r="Z3" s="85"/>
      <c r="AA3" s="85" t="b">
        <v>0</v>
      </c>
      <c r="AB3" s="85">
        <v>0</v>
      </c>
      <c r="AC3" s="91" t="s">
        <v>224</v>
      </c>
      <c r="AD3" s="85" t="b">
        <v>0</v>
      </c>
      <c r="AE3" s="85" t="s">
        <v>225</v>
      </c>
      <c r="AF3" s="85"/>
      <c r="AG3" s="91" t="s">
        <v>224</v>
      </c>
      <c r="AH3" s="85" t="b">
        <v>0</v>
      </c>
      <c r="AI3" s="85">
        <v>0</v>
      </c>
      <c r="AJ3" s="91" t="s">
        <v>224</v>
      </c>
      <c r="AK3" s="85" t="s">
        <v>226</v>
      </c>
      <c r="AL3" s="85" t="b">
        <v>0</v>
      </c>
      <c r="AM3" s="91" t="s">
        <v>221</v>
      </c>
      <c r="AN3" s="85"/>
      <c r="AO3" s="85"/>
      <c r="AP3" s="85"/>
      <c r="AQ3" s="85"/>
      <c r="AR3" s="85"/>
      <c r="AS3" s="85"/>
      <c r="AT3" s="85"/>
      <c r="AU3" s="85"/>
      <c r="AV3">
        <v>1</v>
      </c>
      <c r="AW3" s="85" t="str">
        <f>REPLACE(INDEX(GroupVertices[Group], MATCH(Edges[[#This Row],[Vertex 1]],GroupVertices[Vertex],0)),1,1,"")</f>
        <v>2</v>
      </c>
      <c r="AX3" s="85" t="str">
        <f>REPLACE(INDEX(GroupVertices[Group], MATCH(Edges[[#This Row],[Vertex 2]],GroupVertices[Vertex],0)),1,1,"")</f>
        <v>2</v>
      </c>
      <c r="AY3" s="51">
        <v>0</v>
      </c>
      <c r="AZ3" s="52">
        <v>0</v>
      </c>
      <c r="BA3" s="51">
        <v>0</v>
      </c>
      <c r="BB3" s="52">
        <v>0</v>
      </c>
      <c r="BC3" s="51">
        <v>0</v>
      </c>
      <c r="BD3" s="52">
        <v>0</v>
      </c>
      <c r="BE3" s="51">
        <v>15</v>
      </c>
      <c r="BF3" s="52">
        <v>100</v>
      </c>
      <c r="BG3" s="51">
        <v>15</v>
      </c>
    </row>
    <row r="4" spans="1:59" ht="15" customHeight="1" x14ac:dyDescent="0.25">
      <c r="A4" s="84" t="s">
        <v>208</v>
      </c>
      <c r="B4" s="84" t="s">
        <v>208</v>
      </c>
      <c r="C4" s="53" t="s">
        <v>441</v>
      </c>
      <c r="D4" s="54">
        <v>3</v>
      </c>
      <c r="E4" s="65" t="s">
        <v>132</v>
      </c>
      <c r="F4" s="55">
        <v>32</v>
      </c>
      <c r="G4" s="53"/>
      <c r="H4" s="57"/>
      <c r="I4" s="56"/>
      <c r="J4" s="56"/>
      <c r="K4" s="36" t="s">
        <v>65</v>
      </c>
      <c r="L4" s="83">
        <v>4</v>
      </c>
      <c r="M4" s="83"/>
      <c r="N4" s="63"/>
      <c r="O4" s="86" t="s">
        <v>176</v>
      </c>
      <c r="P4" s="88">
        <v>42726.278449074074</v>
      </c>
      <c r="Q4" s="86" t="s">
        <v>212</v>
      </c>
      <c r="R4" s="90" t="s">
        <v>214</v>
      </c>
      <c r="S4" s="86" t="s">
        <v>215</v>
      </c>
      <c r="T4" s="86" t="s">
        <v>217</v>
      </c>
      <c r="U4" s="88">
        <v>42726.278449074074</v>
      </c>
      <c r="V4" s="90" t="s">
        <v>219</v>
      </c>
      <c r="W4" s="86"/>
      <c r="X4" s="86"/>
      <c r="Y4" s="92" t="s">
        <v>222</v>
      </c>
      <c r="Z4" s="86"/>
      <c r="AA4" s="86" t="b">
        <v>0</v>
      </c>
      <c r="AB4" s="86">
        <v>0</v>
      </c>
      <c r="AC4" s="92" t="s">
        <v>224</v>
      </c>
      <c r="AD4" s="86" t="b">
        <v>0</v>
      </c>
      <c r="AE4" s="86" t="s">
        <v>225</v>
      </c>
      <c r="AF4" s="86"/>
      <c r="AG4" s="92" t="s">
        <v>224</v>
      </c>
      <c r="AH4" s="86" t="b">
        <v>0</v>
      </c>
      <c r="AI4" s="86">
        <v>0</v>
      </c>
      <c r="AJ4" s="92" t="s">
        <v>224</v>
      </c>
      <c r="AK4" s="86" t="s">
        <v>226</v>
      </c>
      <c r="AL4" s="86" t="b">
        <v>0</v>
      </c>
      <c r="AM4" s="92" t="s">
        <v>222</v>
      </c>
      <c r="AN4" s="86" t="s">
        <v>228</v>
      </c>
      <c r="AO4" s="86" t="s">
        <v>229</v>
      </c>
      <c r="AP4" s="86" t="s">
        <v>230</v>
      </c>
      <c r="AQ4" s="86" t="s">
        <v>231</v>
      </c>
      <c r="AR4" s="86" t="s">
        <v>232</v>
      </c>
      <c r="AS4" s="86" t="s">
        <v>233</v>
      </c>
      <c r="AT4" s="86" t="s">
        <v>234</v>
      </c>
      <c r="AU4" s="90" t="s">
        <v>235</v>
      </c>
      <c r="AV4">
        <v>1</v>
      </c>
      <c r="AW4" s="85" t="str">
        <f>REPLACE(INDEX(GroupVertices[Group], MATCH(Edges[[#This Row],[Vertex 1]],GroupVertices[Vertex],0)),1,1,"")</f>
        <v>1</v>
      </c>
      <c r="AX4" s="85" t="str">
        <f>REPLACE(INDEX(GroupVertices[Group], MATCH(Edges[[#This Row],[Vertex 2]],GroupVertices[Vertex],0)),1,1,"")</f>
        <v>1</v>
      </c>
      <c r="AY4" s="51">
        <v>0</v>
      </c>
      <c r="AZ4" s="52">
        <v>0</v>
      </c>
      <c r="BA4" s="51">
        <v>0</v>
      </c>
      <c r="BB4" s="52">
        <v>0</v>
      </c>
      <c r="BC4" s="51">
        <v>0</v>
      </c>
      <c r="BD4" s="52">
        <v>0</v>
      </c>
      <c r="BE4" s="51">
        <v>14</v>
      </c>
      <c r="BF4" s="52">
        <v>100</v>
      </c>
      <c r="BG4" s="51">
        <v>14</v>
      </c>
    </row>
    <row r="5" spans="1:59" x14ac:dyDescent="0.25">
      <c r="A5" s="84" t="s">
        <v>209</v>
      </c>
      <c r="B5" s="84" t="s">
        <v>208</v>
      </c>
      <c r="C5" s="53" t="s">
        <v>441</v>
      </c>
      <c r="D5" s="54">
        <v>3</v>
      </c>
      <c r="E5" s="65" t="s">
        <v>132</v>
      </c>
      <c r="F5" s="55">
        <v>32</v>
      </c>
      <c r="G5" s="53"/>
      <c r="H5" s="57"/>
      <c r="I5" s="56"/>
      <c r="J5" s="56"/>
      <c r="K5" s="36" t="s">
        <v>65</v>
      </c>
      <c r="L5" s="83">
        <v>5</v>
      </c>
      <c r="M5" s="83"/>
      <c r="N5" s="63"/>
      <c r="O5" s="86" t="s">
        <v>210</v>
      </c>
      <c r="P5" s="88">
        <v>42726.35864583333</v>
      </c>
      <c r="Q5" s="86" t="s">
        <v>213</v>
      </c>
      <c r="R5" s="86"/>
      <c r="S5" s="86"/>
      <c r="T5" s="86" t="s">
        <v>217</v>
      </c>
      <c r="U5" s="88">
        <v>42726.35864583333</v>
      </c>
      <c r="V5" s="90" t="s">
        <v>220</v>
      </c>
      <c r="W5" s="86"/>
      <c r="X5" s="86"/>
      <c r="Y5" s="92" t="s">
        <v>223</v>
      </c>
      <c r="Z5" s="86"/>
      <c r="AA5" s="86" t="b">
        <v>0</v>
      </c>
      <c r="AB5" s="86">
        <v>0</v>
      </c>
      <c r="AC5" s="92" t="s">
        <v>224</v>
      </c>
      <c r="AD5" s="86" t="b">
        <v>0</v>
      </c>
      <c r="AE5" s="86" t="s">
        <v>225</v>
      </c>
      <c r="AF5" s="86"/>
      <c r="AG5" s="92" t="s">
        <v>224</v>
      </c>
      <c r="AH5" s="86" t="b">
        <v>0</v>
      </c>
      <c r="AI5" s="86">
        <v>0</v>
      </c>
      <c r="AJ5" s="92" t="s">
        <v>222</v>
      </c>
      <c r="AK5" s="86" t="s">
        <v>227</v>
      </c>
      <c r="AL5" s="86" t="b">
        <v>0</v>
      </c>
      <c r="AM5" s="92" t="s">
        <v>222</v>
      </c>
      <c r="AN5" s="86"/>
      <c r="AO5" s="86"/>
      <c r="AP5" s="86"/>
      <c r="AQ5" s="86"/>
      <c r="AR5" s="86"/>
      <c r="AS5" s="86"/>
      <c r="AT5" s="86"/>
      <c r="AU5" s="86"/>
      <c r="AV5">
        <v>1</v>
      </c>
      <c r="AW5" s="85" t="str">
        <f>REPLACE(INDEX(GroupVertices[Group], MATCH(Edges[[#This Row],[Vertex 1]],GroupVertices[Vertex],0)),1,1,"")</f>
        <v>1</v>
      </c>
      <c r="AX5" s="85" t="str">
        <f>REPLACE(INDEX(GroupVertices[Group], MATCH(Edges[[#This Row],[Vertex 2]],GroupVertices[Vertex],0)),1,1,"")</f>
        <v>1</v>
      </c>
      <c r="AY5" s="51">
        <v>0</v>
      </c>
      <c r="AZ5" s="52">
        <v>0</v>
      </c>
      <c r="BA5" s="51">
        <v>0</v>
      </c>
      <c r="BB5" s="52">
        <v>0</v>
      </c>
      <c r="BC5" s="51">
        <v>0</v>
      </c>
      <c r="BD5" s="52">
        <v>0</v>
      </c>
      <c r="BE5" s="51">
        <v>16</v>
      </c>
      <c r="BF5" s="52">
        <v>100</v>
      </c>
      <c r="BG5" s="51">
        <v>16</v>
      </c>
    </row>
    <row r="23" spans="13:13" x14ac:dyDescent="0.25">
      <c r="M23" s="7"/>
    </row>
  </sheetData>
  <dataConsolidate/>
  <dataValidations count="14">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5"/>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5"/>
    <dataValidation allowBlank="1" showErrorMessage="1" sqref="N2:N5"/>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5"/>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5"/>
    <dataValidation allowBlank="1" showInputMessage="1" promptTitle="Edge Color" prompt="To select an optional edge color, right-click and select Select Color on the right-click menu." sqref="C3:C5"/>
    <dataValidation allowBlank="1" showInputMessage="1" errorTitle="Invalid Edge Width" error="The optional edge width must be a whole number between 1 and 10." promptTitle="Edge Width" prompt="Enter an optional edge width between 1 and 10." sqref="D3:D5"/>
    <dataValidation allowBlank="1" showInputMessage="1" errorTitle="Invalid Edge Opacity" error="The optional edge opacity must be a whole number between 0 and 10." promptTitle="Edge Opacity" prompt="Enter an optional edge opacity between 0 (transparent) and 100 (opaque)." sqref="F3:F5"/>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5">
      <formula1>ValidEdgeVisibilities</formula1>
    </dataValidation>
    <dataValidation allowBlank="1" showInputMessage="1" showErrorMessage="1" promptTitle="Vertex 1 Name" prompt="Enter the name of the edge's first vertex." sqref="A3:A5"/>
    <dataValidation allowBlank="1" showInputMessage="1" showErrorMessage="1" promptTitle="Vertex 2 Name" prompt="Enter the name of the edge's second vertex." sqref="B3:B5"/>
    <dataValidation allowBlank="1" showInputMessage="1" showErrorMessage="1" errorTitle="Invalid Edge Visibility" error="You have entered an unrecognized edge visibility.  Try selecting from the drop-down list instead." promptTitle="Edge Label" prompt="Enter an optional edge label." sqref="H3:H5"/>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5">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5"/>
  </dataValidations>
  <hyperlinks>
    <hyperlink ref="R3" r:id="rId1"/>
    <hyperlink ref="R4" r:id="rId2"/>
    <hyperlink ref="V3" r:id="rId3" location="!/df_lex/status/811238657218740224"/>
    <hyperlink ref="V4" r:id="rId4" location="!/scitecito/status/811823827705626625"/>
    <hyperlink ref="V5" r:id="rId5" location="!/peterljanssen/status/811852889543077888"/>
    <hyperlink ref="AU4" r:id="rId6"/>
  </hyperlinks>
  <pageMargins left="0.7" right="0.7" top="0.75" bottom="0.75" header="0.3" footer="0.3"/>
  <pageSetup orientation="portrait" verticalDpi="0" r:id="rId7"/>
  <legacyDrawing r:id="rId8"/>
  <tableParts count="1">
    <tablePart r:id="rId9"/>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heetViews>
  <sheetFormatPr defaultRowHeight="15" x14ac:dyDescent="0.25"/>
  <cols>
    <col min="1" max="1" width="9.42578125" customWidth="1"/>
    <col min="2" max="2" width="9.42578125" bestFit="1" customWidth="1"/>
    <col min="3" max="3" width="8.42578125" bestFit="1" customWidth="1"/>
    <col min="4" max="4" width="10.5703125" bestFit="1" customWidth="1"/>
    <col min="5" max="5" width="20.7109375" bestFit="1" customWidth="1"/>
    <col min="6" max="6" width="8.5703125" bestFit="1" customWidth="1"/>
    <col min="7" max="7" width="36.28515625" bestFit="1" customWidth="1"/>
    <col min="8" max="8" width="37.140625" bestFit="1" customWidth="1"/>
    <col min="9" max="9" width="41.85546875" bestFit="1" customWidth="1"/>
    <col min="10" max="10" width="36.28515625" bestFit="1" customWidth="1"/>
    <col min="11" max="11" width="37.140625" bestFit="1" customWidth="1"/>
    <col min="12" max="12" width="41.85546875" bestFit="1" customWidth="1"/>
  </cols>
  <sheetData>
    <row r="1" spans="1:12" ht="15" customHeight="1" x14ac:dyDescent="0.25">
      <c r="A1" s="13" t="s">
        <v>417</v>
      </c>
      <c r="B1" s="13" t="s">
        <v>418</v>
      </c>
      <c r="C1" s="13" t="s">
        <v>411</v>
      </c>
      <c r="D1" s="13" t="s">
        <v>412</v>
      </c>
      <c r="E1" s="13" t="s">
        <v>419</v>
      </c>
      <c r="F1" s="13" t="s">
        <v>144</v>
      </c>
      <c r="G1" s="13" t="s">
        <v>420</v>
      </c>
      <c r="H1" s="13" t="s">
        <v>421</v>
      </c>
      <c r="I1" s="13" t="s">
        <v>422</v>
      </c>
      <c r="J1" s="13" t="s">
        <v>423</v>
      </c>
      <c r="K1" s="13" t="s">
        <v>424</v>
      </c>
      <c r="L1" s="13" t="s">
        <v>425</v>
      </c>
    </row>
    <row r="2" spans="1:12" x14ac:dyDescent="0.25">
      <c r="A2" s="91" t="s">
        <v>352</v>
      </c>
      <c r="B2" s="91" t="s">
        <v>353</v>
      </c>
      <c r="C2" s="91">
        <v>3</v>
      </c>
      <c r="D2" s="131">
        <v>0</v>
      </c>
      <c r="E2" s="131">
        <v>1.0280287236002434</v>
      </c>
      <c r="F2" s="91" t="s">
        <v>413</v>
      </c>
      <c r="G2" s="91" t="b">
        <v>0</v>
      </c>
      <c r="H2" s="91" t="b">
        <v>0</v>
      </c>
      <c r="I2" s="91" t="b">
        <v>0</v>
      </c>
      <c r="J2" s="91" t="b">
        <v>0</v>
      </c>
      <c r="K2" s="91" t="b">
        <v>0</v>
      </c>
      <c r="L2" s="91" t="b">
        <v>0</v>
      </c>
    </row>
    <row r="3" spans="1:12" x14ac:dyDescent="0.25">
      <c r="A3" s="91" t="s">
        <v>353</v>
      </c>
      <c r="B3" s="91" t="s">
        <v>354</v>
      </c>
      <c r="C3" s="91">
        <v>3</v>
      </c>
      <c r="D3" s="131">
        <v>0</v>
      </c>
      <c r="E3" s="131">
        <v>1.0280287236002434</v>
      </c>
      <c r="F3" s="91" t="s">
        <v>413</v>
      </c>
      <c r="G3" s="91" t="b">
        <v>0</v>
      </c>
      <c r="H3" s="91" t="b">
        <v>0</v>
      </c>
      <c r="I3" s="91" t="b">
        <v>0</v>
      </c>
      <c r="J3" s="91" t="b">
        <v>0</v>
      </c>
      <c r="K3" s="91" t="b">
        <v>0</v>
      </c>
      <c r="L3" s="91" t="b">
        <v>0</v>
      </c>
    </row>
    <row r="4" spans="1:12" x14ac:dyDescent="0.25">
      <c r="A4" s="91" t="s">
        <v>354</v>
      </c>
      <c r="B4" s="91" t="s">
        <v>355</v>
      </c>
      <c r="C4" s="91">
        <v>3</v>
      </c>
      <c r="D4" s="131">
        <v>0</v>
      </c>
      <c r="E4" s="131">
        <v>1.0280287236002434</v>
      </c>
      <c r="F4" s="91" t="s">
        <v>413</v>
      </c>
      <c r="G4" s="91" t="b">
        <v>0</v>
      </c>
      <c r="H4" s="91" t="b">
        <v>0</v>
      </c>
      <c r="I4" s="91" t="b">
        <v>0</v>
      </c>
      <c r="J4" s="91" t="b">
        <v>0</v>
      </c>
      <c r="K4" s="91" t="b">
        <v>0</v>
      </c>
      <c r="L4" s="91" t="b">
        <v>0</v>
      </c>
    </row>
    <row r="5" spans="1:12" x14ac:dyDescent="0.25">
      <c r="A5" s="91" t="s">
        <v>355</v>
      </c>
      <c r="B5" s="91" t="s">
        <v>356</v>
      </c>
      <c r="C5" s="91">
        <v>3</v>
      </c>
      <c r="D5" s="131">
        <v>0</v>
      </c>
      <c r="E5" s="131">
        <v>1.0280287236002434</v>
      </c>
      <c r="F5" s="91" t="s">
        <v>413</v>
      </c>
      <c r="G5" s="91" t="b">
        <v>0</v>
      </c>
      <c r="H5" s="91" t="b">
        <v>0</v>
      </c>
      <c r="I5" s="91" t="b">
        <v>0</v>
      </c>
      <c r="J5" s="91" t="b">
        <v>0</v>
      </c>
      <c r="K5" s="91" t="b">
        <v>0</v>
      </c>
      <c r="L5" s="91" t="b">
        <v>0</v>
      </c>
    </row>
    <row r="6" spans="1:12" x14ac:dyDescent="0.25">
      <c r="A6" s="91" t="s">
        <v>356</v>
      </c>
      <c r="B6" s="91" t="s">
        <v>359</v>
      </c>
      <c r="C6" s="91">
        <v>3</v>
      </c>
      <c r="D6" s="131">
        <v>0</v>
      </c>
      <c r="E6" s="131">
        <v>1.0280287236002434</v>
      </c>
      <c r="F6" s="91" t="s">
        <v>413</v>
      </c>
      <c r="G6" s="91" t="b">
        <v>0</v>
      </c>
      <c r="H6" s="91" t="b">
        <v>0</v>
      </c>
      <c r="I6" s="91" t="b">
        <v>0</v>
      </c>
      <c r="J6" s="91" t="b">
        <v>0</v>
      </c>
      <c r="K6" s="91" t="b">
        <v>0</v>
      </c>
      <c r="L6" s="91" t="b">
        <v>0</v>
      </c>
    </row>
    <row r="7" spans="1:12" x14ac:dyDescent="0.25">
      <c r="A7" s="91" t="s">
        <v>359</v>
      </c>
      <c r="B7" s="91" t="s">
        <v>360</v>
      </c>
      <c r="C7" s="91">
        <v>3</v>
      </c>
      <c r="D7" s="131">
        <v>0</v>
      </c>
      <c r="E7" s="131">
        <v>1.0280287236002434</v>
      </c>
      <c r="F7" s="91" t="s">
        <v>413</v>
      </c>
      <c r="G7" s="91" t="b">
        <v>0</v>
      </c>
      <c r="H7" s="91" t="b">
        <v>0</v>
      </c>
      <c r="I7" s="91" t="b">
        <v>0</v>
      </c>
      <c r="J7" s="91" t="b">
        <v>0</v>
      </c>
      <c r="K7" s="91" t="b">
        <v>0</v>
      </c>
      <c r="L7" s="91" t="b">
        <v>0</v>
      </c>
    </row>
    <row r="8" spans="1:12" x14ac:dyDescent="0.25">
      <c r="A8" s="91" t="s">
        <v>360</v>
      </c>
      <c r="B8" s="91" t="s">
        <v>361</v>
      </c>
      <c r="C8" s="91">
        <v>3</v>
      </c>
      <c r="D8" s="131">
        <v>0</v>
      </c>
      <c r="E8" s="131">
        <v>1.0280287236002434</v>
      </c>
      <c r="F8" s="91" t="s">
        <v>413</v>
      </c>
      <c r="G8" s="91" t="b">
        <v>0</v>
      </c>
      <c r="H8" s="91" t="b">
        <v>0</v>
      </c>
      <c r="I8" s="91" t="b">
        <v>0</v>
      </c>
      <c r="J8" s="91" t="b">
        <v>0</v>
      </c>
      <c r="K8" s="91" t="b">
        <v>0</v>
      </c>
      <c r="L8" s="91" t="b">
        <v>0</v>
      </c>
    </row>
    <row r="9" spans="1:12" x14ac:dyDescent="0.25">
      <c r="A9" s="91" t="s">
        <v>361</v>
      </c>
      <c r="B9" s="91" t="s">
        <v>362</v>
      </c>
      <c r="C9" s="91">
        <v>3</v>
      </c>
      <c r="D9" s="131">
        <v>0</v>
      </c>
      <c r="E9" s="131">
        <v>1.0280287236002434</v>
      </c>
      <c r="F9" s="91" t="s">
        <v>413</v>
      </c>
      <c r="G9" s="91" t="b">
        <v>0</v>
      </c>
      <c r="H9" s="91" t="b">
        <v>0</v>
      </c>
      <c r="I9" s="91" t="b">
        <v>0</v>
      </c>
      <c r="J9" s="91" t="b">
        <v>0</v>
      </c>
      <c r="K9" s="91" t="b">
        <v>0</v>
      </c>
      <c r="L9" s="91" t="b">
        <v>0</v>
      </c>
    </row>
    <row r="10" spans="1:12" x14ac:dyDescent="0.25">
      <c r="A10" s="91" t="s">
        <v>358</v>
      </c>
      <c r="B10" s="91" t="s">
        <v>352</v>
      </c>
      <c r="C10" s="91">
        <v>2</v>
      </c>
      <c r="D10" s="131">
        <v>1.0062357660324641E-2</v>
      </c>
      <c r="E10" s="131">
        <v>1.0280287236002434</v>
      </c>
      <c r="F10" s="91" t="s">
        <v>413</v>
      </c>
      <c r="G10" s="91" t="b">
        <v>0</v>
      </c>
      <c r="H10" s="91" t="b">
        <v>0</v>
      </c>
      <c r="I10" s="91" t="b">
        <v>0</v>
      </c>
      <c r="J10" s="91" t="b">
        <v>0</v>
      </c>
      <c r="K10" s="91" t="b">
        <v>0</v>
      </c>
      <c r="L10" s="91" t="b">
        <v>0</v>
      </c>
    </row>
    <row r="11" spans="1:12" x14ac:dyDescent="0.25">
      <c r="A11" s="91" t="s">
        <v>362</v>
      </c>
      <c r="B11" s="91" t="s">
        <v>217</v>
      </c>
      <c r="C11" s="91">
        <v>2</v>
      </c>
      <c r="D11" s="131">
        <v>1.0062357660324641E-2</v>
      </c>
      <c r="E11" s="131">
        <v>1.0280287236002434</v>
      </c>
      <c r="F11" s="91" t="s">
        <v>413</v>
      </c>
      <c r="G11" s="91" t="b">
        <v>0</v>
      </c>
      <c r="H11" s="91" t="b">
        <v>0</v>
      </c>
      <c r="I11" s="91" t="b">
        <v>0</v>
      </c>
      <c r="J11" s="91" t="b">
        <v>0</v>
      </c>
      <c r="K11" s="91" t="b">
        <v>0</v>
      </c>
      <c r="L11" s="91" t="b">
        <v>0</v>
      </c>
    </row>
    <row r="12" spans="1:12" x14ac:dyDescent="0.25">
      <c r="A12" s="91" t="s">
        <v>358</v>
      </c>
      <c r="B12" s="91" t="s">
        <v>352</v>
      </c>
      <c r="C12" s="91">
        <v>2</v>
      </c>
      <c r="D12" s="131">
        <v>0</v>
      </c>
      <c r="E12" s="131">
        <v>1.0211892990699381</v>
      </c>
      <c r="F12" s="91" t="s">
        <v>319</v>
      </c>
      <c r="G12" s="91" t="b">
        <v>0</v>
      </c>
      <c r="H12" s="91" t="b">
        <v>0</v>
      </c>
      <c r="I12" s="91" t="b">
        <v>0</v>
      </c>
      <c r="J12" s="91" t="b">
        <v>0</v>
      </c>
      <c r="K12" s="91" t="b">
        <v>0</v>
      </c>
      <c r="L12" s="91" t="b">
        <v>0</v>
      </c>
    </row>
    <row r="13" spans="1:12" x14ac:dyDescent="0.25">
      <c r="A13" s="91" t="s">
        <v>352</v>
      </c>
      <c r="B13" s="91" t="s">
        <v>353</v>
      </c>
      <c r="C13" s="91">
        <v>2</v>
      </c>
      <c r="D13" s="131">
        <v>0</v>
      </c>
      <c r="E13" s="131">
        <v>1.0211892990699381</v>
      </c>
      <c r="F13" s="91" t="s">
        <v>319</v>
      </c>
      <c r="G13" s="91" t="b">
        <v>0</v>
      </c>
      <c r="H13" s="91" t="b">
        <v>0</v>
      </c>
      <c r="I13" s="91" t="b">
        <v>0</v>
      </c>
      <c r="J13" s="91" t="b">
        <v>0</v>
      </c>
      <c r="K13" s="91" t="b">
        <v>0</v>
      </c>
      <c r="L13" s="91" t="b">
        <v>0</v>
      </c>
    </row>
    <row r="14" spans="1:12" x14ac:dyDescent="0.25">
      <c r="A14" s="91" t="s">
        <v>353</v>
      </c>
      <c r="B14" s="91" t="s">
        <v>354</v>
      </c>
      <c r="C14" s="91">
        <v>2</v>
      </c>
      <c r="D14" s="131">
        <v>0</v>
      </c>
      <c r="E14" s="131">
        <v>1.0211892990699381</v>
      </c>
      <c r="F14" s="91" t="s">
        <v>319</v>
      </c>
      <c r="G14" s="91" t="b">
        <v>0</v>
      </c>
      <c r="H14" s="91" t="b">
        <v>0</v>
      </c>
      <c r="I14" s="91" t="b">
        <v>0</v>
      </c>
      <c r="J14" s="91" t="b">
        <v>0</v>
      </c>
      <c r="K14" s="91" t="b">
        <v>0</v>
      </c>
      <c r="L14" s="91" t="b">
        <v>0</v>
      </c>
    </row>
    <row r="15" spans="1:12" x14ac:dyDescent="0.25">
      <c r="A15" s="91" t="s">
        <v>354</v>
      </c>
      <c r="B15" s="91" t="s">
        <v>355</v>
      </c>
      <c r="C15" s="91">
        <v>2</v>
      </c>
      <c r="D15" s="131">
        <v>0</v>
      </c>
      <c r="E15" s="131">
        <v>1.0211892990699381</v>
      </c>
      <c r="F15" s="91" t="s">
        <v>319</v>
      </c>
      <c r="G15" s="91" t="b">
        <v>0</v>
      </c>
      <c r="H15" s="91" t="b">
        <v>0</v>
      </c>
      <c r="I15" s="91" t="b">
        <v>0</v>
      </c>
      <c r="J15" s="91" t="b">
        <v>0</v>
      </c>
      <c r="K15" s="91" t="b">
        <v>0</v>
      </c>
      <c r="L15" s="91" t="b">
        <v>0</v>
      </c>
    </row>
    <row r="16" spans="1:12" x14ac:dyDescent="0.25">
      <c r="A16" s="91" t="s">
        <v>355</v>
      </c>
      <c r="B16" s="91" t="s">
        <v>356</v>
      </c>
      <c r="C16" s="91">
        <v>2</v>
      </c>
      <c r="D16" s="131">
        <v>0</v>
      </c>
      <c r="E16" s="131">
        <v>1.0211892990699381</v>
      </c>
      <c r="F16" s="91" t="s">
        <v>319</v>
      </c>
      <c r="G16" s="91" t="b">
        <v>0</v>
      </c>
      <c r="H16" s="91" t="b">
        <v>0</v>
      </c>
      <c r="I16" s="91" t="b">
        <v>0</v>
      </c>
      <c r="J16" s="91" t="b">
        <v>0</v>
      </c>
      <c r="K16" s="91" t="b">
        <v>0</v>
      </c>
      <c r="L16" s="91" t="b">
        <v>0</v>
      </c>
    </row>
    <row r="17" spans="1:12" x14ac:dyDescent="0.25">
      <c r="A17" s="91" t="s">
        <v>356</v>
      </c>
      <c r="B17" s="91" t="s">
        <v>359</v>
      </c>
      <c r="C17" s="91">
        <v>2</v>
      </c>
      <c r="D17" s="131">
        <v>0</v>
      </c>
      <c r="E17" s="131">
        <v>1.0211892990699381</v>
      </c>
      <c r="F17" s="91" t="s">
        <v>319</v>
      </c>
      <c r="G17" s="91" t="b">
        <v>0</v>
      </c>
      <c r="H17" s="91" t="b">
        <v>0</v>
      </c>
      <c r="I17" s="91" t="b">
        <v>0</v>
      </c>
      <c r="J17" s="91" t="b">
        <v>0</v>
      </c>
      <c r="K17" s="91" t="b">
        <v>0</v>
      </c>
      <c r="L17" s="91" t="b">
        <v>0</v>
      </c>
    </row>
    <row r="18" spans="1:12" x14ac:dyDescent="0.25">
      <c r="A18" s="91" t="s">
        <v>359</v>
      </c>
      <c r="B18" s="91" t="s">
        <v>360</v>
      </c>
      <c r="C18" s="91">
        <v>2</v>
      </c>
      <c r="D18" s="131">
        <v>0</v>
      </c>
      <c r="E18" s="131">
        <v>1.0211892990699381</v>
      </c>
      <c r="F18" s="91" t="s">
        <v>319</v>
      </c>
      <c r="G18" s="91" t="b">
        <v>0</v>
      </c>
      <c r="H18" s="91" t="b">
        <v>0</v>
      </c>
      <c r="I18" s="91" t="b">
        <v>0</v>
      </c>
      <c r="J18" s="91" t="b">
        <v>0</v>
      </c>
      <c r="K18" s="91" t="b">
        <v>0</v>
      </c>
      <c r="L18" s="91" t="b">
        <v>0</v>
      </c>
    </row>
    <row r="19" spans="1:12" x14ac:dyDescent="0.25">
      <c r="A19" s="91" t="s">
        <v>360</v>
      </c>
      <c r="B19" s="91" t="s">
        <v>361</v>
      </c>
      <c r="C19" s="91">
        <v>2</v>
      </c>
      <c r="D19" s="131">
        <v>0</v>
      </c>
      <c r="E19" s="131">
        <v>1.0211892990699381</v>
      </c>
      <c r="F19" s="91" t="s">
        <v>319</v>
      </c>
      <c r="G19" s="91" t="b">
        <v>0</v>
      </c>
      <c r="H19" s="91" t="b">
        <v>0</v>
      </c>
      <c r="I19" s="91" t="b">
        <v>0</v>
      </c>
      <c r="J19" s="91" t="b">
        <v>0</v>
      </c>
      <c r="K19" s="91" t="b">
        <v>0</v>
      </c>
      <c r="L19" s="91" t="b">
        <v>0</v>
      </c>
    </row>
    <row r="20" spans="1:12" x14ac:dyDescent="0.25">
      <c r="A20" s="91" t="s">
        <v>361</v>
      </c>
      <c r="B20" s="91" t="s">
        <v>362</v>
      </c>
      <c r="C20" s="91">
        <v>2</v>
      </c>
      <c r="D20" s="131">
        <v>0</v>
      </c>
      <c r="E20" s="131">
        <v>1.0211892990699381</v>
      </c>
      <c r="F20" s="91" t="s">
        <v>319</v>
      </c>
      <c r="G20" s="91" t="b">
        <v>0</v>
      </c>
      <c r="H20" s="91" t="b">
        <v>0</v>
      </c>
      <c r="I20" s="91" t="b">
        <v>0</v>
      </c>
      <c r="J20" s="91" t="b">
        <v>0</v>
      </c>
      <c r="K20" s="91" t="b">
        <v>0</v>
      </c>
      <c r="L20" s="91" t="b">
        <v>0</v>
      </c>
    </row>
    <row r="21" spans="1:12" x14ac:dyDescent="0.25">
      <c r="A21" s="91" t="s">
        <v>362</v>
      </c>
      <c r="B21" s="91" t="s">
        <v>217</v>
      </c>
      <c r="C21" s="91">
        <v>2</v>
      </c>
      <c r="D21" s="131">
        <v>0</v>
      </c>
      <c r="E21" s="131">
        <v>1.0211892990699381</v>
      </c>
      <c r="F21" s="91" t="s">
        <v>319</v>
      </c>
      <c r="G21" s="91" t="b">
        <v>0</v>
      </c>
      <c r="H21" s="91" t="b">
        <v>0</v>
      </c>
      <c r="I21" s="91" t="b">
        <v>0</v>
      </c>
      <c r="J21" s="91" t="b">
        <v>0</v>
      </c>
      <c r="K21" s="91" t="b">
        <v>0</v>
      </c>
      <c r="L21" s="91" t="b">
        <v>0</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heetViews>
  <sheetFormatPr defaultRowHeight="15" x14ac:dyDescent="0.25"/>
  <cols>
    <col min="1" max="1" width="10" customWidth="1"/>
    <col min="2" max="2" width="10" bestFit="1" customWidth="1"/>
    <col min="3" max="3" width="13.42578125" bestFit="1" customWidth="1"/>
  </cols>
  <sheetData>
    <row r="1" spans="1:3" x14ac:dyDescent="0.25">
      <c r="C1" s="35" t="s">
        <v>42</v>
      </c>
    </row>
    <row r="2" spans="1:3" ht="15" customHeight="1" x14ac:dyDescent="0.25">
      <c r="A2" s="13" t="s">
        <v>437</v>
      </c>
      <c r="B2" s="134" t="s">
        <v>438</v>
      </c>
      <c r="C2" s="67" t="s">
        <v>439</v>
      </c>
    </row>
    <row r="3" spans="1:3" x14ac:dyDescent="0.25">
      <c r="A3" s="133" t="s">
        <v>319</v>
      </c>
      <c r="B3" s="133" t="s">
        <v>319</v>
      </c>
      <c r="C3" s="36">
        <v>2</v>
      </c>
    </row>
    <row r="4" spans="1:3" x14ac:dyDescent="0.25">
      <c r="A4" s="133" t="s">
        <v>320</v>
      </c>
      <c r="B4" s="133" t="s">
        <v>320</v>
      </c>
      <c r="C4" s="36">
        <v>1</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heetViews>
  <sheetFormatPr defaultRowHeight="15" x14ac:dyDescent="0.25"/>
  <cols>
    <col min="1" max="1" width="49.5703125" bestFit="1" customWidth="1"/>
    <col min="2" max="2" width="24.7109375" bestFit="1" customWidth="1"/>
  </cols>
  <sheetData>
    <row r="1" spans="1:2" ht="15" customHeight="1" x14ac:dyDescent="0.25">
      <c r="A1" s="13" t="s">
        <v>440</v>
      </c>
      <c r="B1" s="13" t="s">
        <v>34</v>
      </c>
    </row>
    <row r="2" spans="1:2" x14ac:dyDescent="0.25">
      <c r="A2" s="124" t="s">
        <v>209</v>
      </c>
      <c r="B2" s="85">
        <v>0</v>
      </c>
    </row>
    <row r="3" spans="1:2" x14ac:dyDescent="0.25">
      <c r="A3" s="124" t="s">
        <v>208</v>
      </c>
      <c r="B3" s="85">
        <v>0</v>
      </c>
    </row>
    <row r="4" spans="1:2" x14ac:dyDescent="0.25">
      <c r="A4" s="124" t="s">
        <v>207</v>
      </c>
      <c r="B4" s="85">
        <v>0</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Y5"/>
  <sheetViews>
    <sheetView tabSelected="1" workbookViewId="0">
      <pane xSplit="1" ySplit="2" topLeftCell="B3" activePane="bottomRight" state="frozen"/>
      <selection pane="topRight" activeCell="B1" sqref="B1"/>
      <selection pane="bottomLeft" activeCell="A3" sqref="A3"/>
      <selection pane="bottomRight" activeCell="B1" sqref="B1"/>
    </sheetView>
  </sheetViews>
  <sheetFormatPr defaultRowHeight="15" x14ac:dyDescent="0.25"/>
  <cols>
    <col min="1" max="1" width="9.140625" style="1"/>
    <col min="2" max="2" width="11.7109375" customWidth="1"/>
    <col min="3" max="3" width="7.85546875" hidden="1" customWidth="1"/>
    <col min="4" max="4" width="8.5703125" hidden="1" customWidth="1"/>
    <col min="5" max="5" width="6.7109375" hidden="1" customWidth="1"/>
    <col min="6" max="6" width="9.85546875" hidden="1" customWidth="1"/>
    <col min="7" max="7" width="7.7109375" hidden="1" customWidth="1"/>
    <col min="8" max="8" width="11" hidden="1" customWidth="1"/>
    <col min="9" max="9" width="8.5703125" hidden="1" customWidth="1"/>
    <col min="10" max="10" width="9.7109375" style="3" hidden="1" customWidth="1"/>
    <col min="11" max="11" width="10.5703125" hidden="1" customWidth="1"/>
    <col min="12" max="13" width="9.140625" hidden="1" customWidth="1"/>
    <col min="14" max="15" width="4.28515625" hidden="1" customWidth="1"/>
    <col min="16" max="16" width="10.28515625" hidden="1" customWidth="1"/>
    <col min="17" max="17" width="6.42578125" hidden="1" customWidth="1"/>
    <col min="18" max="18" width="8.28515625" hidden="1" customWidth="1"/>
    <col min="19" max="19" width="9.5703125" customWidth="1"/>
    <col min="20" max="20" width="9.28515625" customWidth="1"/>
    <col min="21" max="21" width="9.5703125" customWidth="1"/>
    <col min="22" max="24" width="14.28515625" customWidth="1"/>
    <col min="25" max="25" width="11.85546875" customWidth="1"/>
    <col min="26" max="26" width="14.42578125" customWidth="1"/>
    <col min="27" max="27" width="18.28515625" style="3" customWidth="1"/>
    <col min="28" max="28" width="5" style="3" hidden="1" customWidth="1"/>
    <col min="29" max="29" width="16" style="6" hidden="1" customWidth="1"/>
    <col min="30" max="30" width="16" style="2" customWidth="1"/>
    <col min="31" max="31" width="8.42578125" style="3" customWidth="1"/>
    <col min="32" max="32" width="11.42578125" style="3" customWidth="1"/>
    <col min="33" max="33" width="11.85546875" style="3" customWidth="1"/>
    <col min="34" max="34" width="9.5703125" style="3" customWidth="1"/>
    <col min="35" max="35" width="11.28515625" customWidth="1"/>
    <col min="36" max="36" width="18" customWidth="1"/>
    <col min="37" max="37" width="13.28515625" customWidth="1"/>
    <col min="38" max="38" width="10.5703125" customWidth="1"/>
    <col min="39" max="39" width="7.28515625" customWidth="1"/>
    <col min="40" max="40" width="7.5703125" customWidth="1"/>
    <col min="41" max="41" width="16" customWidth="1"/>
    <col min="42" max="42" width="12.42578125" customWidth="1"/>
    <col min="43" max="43" width="9.7109375" customWidth="1"/>
    <col min="44" max="44" width="16.28515625" customWidth="1"/>
    <col min="45" max="45" width="10.28515625" customWidth="1"/>
    <col min="46" max="46" width="11.42578125" customWidth="1"/>
    <col min="47" max="47" width="8.42578125" customWidth="1"/>
    <col min="48" max="48" width="20.140625" customWidth="1"/>
    <col min="49" max="49" width="10.42578125" customWidth="1"/>
    <col min="50" max="51" width="15.5703125" customWidth="1"/>
    <col min="52" max="52" width="15" customWidth="1"/>
    <col min="53" max="53" width="9.140625" customWidth="1"/>
    <col min="54" max="54" width="17.140625" customWidth="1"/>
    <col min="55" max="55" width="19.42578125" customWidth="1"/>
    <col min="56" max="56" width="17.140625" customWidth="1"/>
    <col min="57" max="57" width="19.42578125" customWidth="1"/>
    <col min="58" max="58" width="17.140625" customWidth="1"/>
    <col min="59" max="59" width="19.42578125" customWidth="1"/>
    <col min="60" max="60" width="17.140625" customWidth="1"/>
    <col min="61" max="61" width="19.42578125" customWidth="1"/>
    <col min="62" max="62" width="18.7109375" customWidth="1"/>
    <col min="63" max="63" width="19.42578125" customWidth="1"/>
    <col min="64" max="64" width="21.5703125" customWidth="1"/>
    <col min="65" max="65" width="26.85546875" customWidth="1"/>
    <col min="66" max="66" width="22.42578125" customWidth="1"/>
    <col min="67" max="67" width="27.85546875" customWidth="1"/>
    <col min="68" max="68" width="27.140625" customWidth="1"/>
    <col min="69" max="69" width="32.5703125" customWidth="1"/>
    <col min="70" max="70" width="18" customWidth="1"/>
    <col min="71" max="71" width="22.140625" customWidth="1"/>
    <col min="72" max="72" width="16.85546875" customWidth="1"/>
  </cols>
  <sheetData>
    <row r="1" spans="1:77" x14ac:dyDescent="0.25">
      <c r="B1" s="1"/>
      <c r="C1" s="25" t="s">
        <v>39</v>
      </c>
      <c r="D1" s="18"/>
      <c r="E1" s="18"/>
      <c r="F1" s="18"/>
      <c r="G1" s="18"/>
      <c r="H1" s="18"/>
      <c r="I1" s="27" t="s">
        <v>43</v>
      </c>
      <c r="J1" s="26"/>
      <c r="K1" s="26"/>
      <c r="L1" s="26"/>
      <c r="M1" s="29" t="s">
        <v>44</v>
      </c>
      <c r="N1" s="28"/>
      <c r="O1" s="28"/>
      <c r="P1" s="28"/>
      <c r="Q1" s="28"/>
      <c r="R1" s="28"/>
      <c r="S1" s="24" t="s">
        <v>42</v>
      </c>
      <c r="T1" s="21"/>
      <c r="U1" s="22"/>
      <c r="V1" s="23"/>
      <c r="W1" s="21"/>
      <c r="X1" s="21"/>
      <c r="Y1" s="21"/>
      <c r="Z1" s="21"/>
      <c r="AA1" s="21"/>
      <c r="AB1" s="30" t="s">
        <v>40</v>
      </c>
      <c r="AC1" s="20"/>
      <c r="AD1" s="31" t="s">
        <v>41</v>
      </c>
      <c r="AE1"/>
      <c r="AF1"/>
      <c r="AG1"/>
      <c r="AH1"/>
    </row>
    <row r="2" spans="1:77" ht="30" customHeight="1" x14ac:dyDescent="0.25">
      <c r="A2" s="11" t="s">
        <v>5</v>
      </c>
      <c r="B2" t="s">
        <v>445</v>
      </c>
      <c r="C2" s="8" t="s">
        <v>2</v>
      </c>
      <c r="D2" s="8" t="s">
        <v>8</v>
      </c>
      <c r="E2" s="9" t="s">
        <v>45</v>
      </c>
      <c r="F2" s="10" t="s">
        <v>4</v>
      </c>
      <c r="G2" s="8" t="s">
        <v>48</v>
      </c>
      <c r="H2" s="8" t="s">
        <v>11</v>
      </c>
      <c r="I2" s="8" t="s">
        <v>46</v>
      </c>
      <c r="J2" s="8" t="s">
        <v>47</v>
      </c>
      <c r="K2" s="8" t="s">
        <v>77</v>
      </c>
      <c r="L2" s="8" t="s">
        <v>10</v>
      </c>
      <c r="M2" s="8" t="s">
        <v>27</v>
      </c>
      <c r="N2" s="8" t="s">
        <v>15</v>
      </c>
      <c r="O2" s="8" t="s">
        <v>16</v>
      </c>
      <c r="P2" s="8" t="s">
        <v>13</v>
      </c>
      <c r="Q2" s="8" t="s">
        <v>28</v>
      </c>
      <c r="R2" s="8" t="s">
        <v>29</v>
      </c>
      <c r="S2" s="13" t="s">
        <v>31</v>
      </c>
      <c r="T2" s="13" t="s">
        <v>32</v>
      </c>
      <c r="U2" s="13" t="s">
        <v>33</v>
      </c>
      <c r="V2" s="13" t="s">
        <v>34</v>
      </c>
      <c r="W2" s="13" t="s">
        <v>35</v>
      </c>
      <c r="X2" s="13" t="s">
        <v>36</v>
      </c>
      <c r="Y2" s="13" t="s">
        <v>137</v>
      </c>
      <c r="Z2" s="13" t="s">
        <v>37</v>
      </c>
      <c r="AA2" s="13" t="s">
        <v>170</v>
      </c>
      <c r="AB2" s="11" t="s">
        <v>12</v>
      </c>
      <c r="AC2" s="11" t="s">
        <v>38</v>
      </c>
      <c r="AD2" s="8" t="s">
        <v>26</v>
      </c>
      <c r="AE2" s="13" t="s">
        <v>236</v>
      </c>
      <c r="AF2" s="13" t="s">
        <v>237</v>
      </c>
      <c r="AG2" s="13" t="s">
        <v>238</v>
      </c>
      <c r="AH2" s="13" t="s">
        <v>239</v>
      </c>
      <c r="AI2" s="13" t="s">
        <v>240</v>
      </c>
      <c r="AJ2" s="13" t="s">
        <v>241</v>
      </c>
      <c r="AK2" s="13" t="s">
        <v>242</v>
      </c>
      <c r="AL2" s="13" t="s">
        <v>243</v>
      </c>
      <c r="AM2" s="13" t="s">
        <v>244</v>
      </c>
      <c r="AN2" s="13" t="s">
        <v>245</v>
      </c>
      <c r="AO2" s="13" t="s">
        <v>246</v>
      </c>
      <c r="AP2" s="13" t="s">
        <v>247</v>
      </c>
      <c r="AQ2" s="13" t="s">
        <v>248</v>
      </c>
      <c r="AR2" s="13" t="s">
        <v>249</v>
      </c>
      <c r="AS2" s="13" t="s">
        <v>250</v>
      </c>
      <c r="AT2" s="13" t="s">
        <v>190</v>
      </c>
      <c r="AU2" s="13" t="s">
        <v>251</v>
      </c>
      <c r="AV2" s="13" t="s">
        <v>252</v>
      </c>
      <c r="AW2" s="13" t="s">
        <v>253</v>
      </c>
      <c r="AX2" s="13" t="s">
        <v>254</v>
      </c>
      <c r="AY2" s="13" t="s">
        <v>255</v>
      </c>
      <c r="AZ2" s="13" t="s">
        <v>256</v>
      </c>
      <c r="BA2" s="13" t="s">
        <v>323</v>
      </c>
      <c r="BB2" s="128" t="s">
        <v>394</v>
      </c>
      <c r="BC2" s="128" t="s">
        <v>395</v>
      </c>
      <c r="BD2" s="128" t="s">
        <v>396</v>
      </c>
      <c r="BE2" s="128" t="s">
        <v>397</v>
      </c>
      <c r="BF2" s="128" t="s">
        <v>398</v>
      </c>
      <c r="BG2" s="128" t="s">
        <v>399</v>
      </c>
      <c r="BH2" s="128" t="s">
        <v>400</v>
      </c>
      <c r="BI2" s="128" t="s">
        <v>404</v>
      </c>
      <c r="BJ2" s="128" t="s">
        <v>405</v>
      </c>
      <c r="BK2" s="128" t="s">
        <v>409</v>
      </c>
      <c r="BL2" s="128" t="s">
        <v>426</v>
      </c>
      <c r="BM2" s="128" t="s">
        <v>427</v>
      </c>
      <c r="BN2" s="128" t="s">
        <v>428</v>
      </c>
      <c r="BO2" s="128" t="s">
        <v>429</v>
      </c>
      <c r="BP2" s="128" t="s">
        <v>430</v>
      </c>
      <c r="BQ2" s="128" t="s">
        <v>431</v>
      </c>
      <c r="BR2" s="128" t="s">
        <v>432</v>
      </c>
      <c r="BS2" s="128" t="s">
        <v>433</v>
      </c>
      <c r="BT2" s="128" t="s">
        <v>435</v>
      </c>
      <c r="BU2" s="3"/>
      <c r="BV2" s="3"/>
    </row>
    <row r="3" spans="1:77" ht="41.45" customHeight="1" x14ac:dyDescent="0.25">
      <c r="A3" s="50" t="s">
        <v>207</v>
      </c>
      <c r="C3" s="53"/>
      <c r="D3" s="53" t="s">
        <v>64</v>
      </c>
      <c r="E3" s="54">
        <v>1000</v>
      </c>
      <c r="F3" s="55">
        <v>95.137982940291025</v>
      </c>
      <c r="G3" s="112" t="s">
        <v>270</v>
      </c>
      <c r="H3" s="53"/>
      <c r="I3" s="57" t="s">
        <v>207</v>
      </c>
      <c r="J3" s="56"/>
      <c r="K3" s="56"/>
      <c r="L3" s="114" t="s">
        <v>277</v>
      </c>
      <c r="M3" s="59">
        <v>1621.3482187656798</v>
      </c>
      <c r="N3" s="60">
        <v>8267.529296875</v>
      </c>
      <c r="O3" s="60">
        <v>4999.5</v>
      </c>
      <c r="P3" s="58"/>
      <c r="Q3" s="61"/>
      <c r="R3" s="61"/>
      <c r="S3" s="51"/>
      <c r="T3" s="51">
        <v>1</v>
      </c>
      <c r="U3" s="51">
        <v>1</v>
      </c>
      <c r="V3" s="52">
        <v>0</v>
      </c>
      <c r="W3" s="52">
        <v>0</v>
      </c>
      <c r="X3" s="52">
        <v>0.111111</v>
      </c>
      <c r="Y3" s="52">
        <v>0.99983200000000005</v>
      </c>
      <c r="Z3" s="52">
        <v>0</v>
      </c>
      <c r="AA3" s="52" t="s">
        <v>330</v>
      </c>
      <c r="AB3" s="62">
        <v>3</v>
      </c>
      <c r="AC3" s="62"/>
      <c r="AD3" s="63"/>
      <c r="AE3" s="85" t="s">
        <v>257</v>
      </c>
      <c r="AF3" s="85">
        <v>312</v>
      </c>
      <c r="AG3" s="85">
        <v>337</v>
      </c>
      <c r="AH3" s="85">
        <v>10670</v>
      </c>
      <c r="AI3" s="85">
        <v>26</v>
      </c>
      <c r="AJ3" s="85">
        <v>3600</v>
      </c>
      <c r="AK3" s="85" t="s">
        <v>260</v>
      </c>
      <c r="AL3" s="85" t="s">
        <v>262</v>
      </c>
      <c r="AM3" s="85"/>
      <c r="AN3" s="85" t="s">
        <v>265</v>
      </c>
      <c r="AO3" s="87">
        <v>40599.947766203702</v>
      </c>
      <c r="AP3" s="85"/>
      <c r="AQ3" s="85" t="b">
        <v>0</v>
      </c>
      <c r="AR3" s="85" t="b">
        <v>0</v>
      </c>
      <c r="AS3" s="85" t="b">
        <v>1</v>
      </c>
      <c r="AT3" s="85" t="s">
        <v>225</v>
      </c>
      <c r="AU3" s="85">
        <v>17</v>
      </c>
      <c r="AV3" s="89" t="s">
        <v>268</v>
      </c>
      <c r="AW3" s="85" t="b">
        <v>0</v>
      </c>
      <c r="AX3" s="85" t="s">
        <v>273</v>
      </c>
      <c r="AY3" s="89" t="s">
        <v>274</v>
      </c>
      <c r="AZ3" s="85" t="s">
        <v>66</v>
      </c>
      <c r="BA3" s="85" t="str">
        <f>REPLACE(INDEX(GroupVertices[Group], MATCH(Vertices[[#This Row],[Vertex]],GroupVertices[Vertex],0)),1,1,"")</f>
        <v>2</v>
      </c>
      <c r="BB3" s="51" t="s">
        <v>214</v>
      </c>
      <c r="BC3" s="51" t="s">
        <v>214</v>
      </c>
      <c r="BD3" s="51" t="s">
        <v>215</v>
      </c>
      <c r="BE3" s="51" t="s">
        <v>215</v>
      </c>
      <c r="BF3" s="51" t="s">
        <v>216</v>
      </c>
      <c r="BG3" s="51" t="s">
        <v>216</v>
      </c>
      <c r="BH3" s="129" t="s">
        <v>401</v>
      </c>
      <c r="BI3" s="129" t="s">
        <v>401</v>
      </c>
      <c r="BJ3" s="129" t="s">
        <v>406</v>
      </c>
      <c r="BK3" s="129" t="s">
        <v>406</v>
      </c>
      <c r="BL3" s="129">
        <v>0</v>
      </c>
      <c r="BM3" s="132">
        <v>0</v>
      </c>
      <c r="BN3" s="129">
        <v>0</v>
      </c>
      <c r="BO3" s="132">
        <v>0</v>
      </c>
      <c r="BP3" s="129">
        <v>0</v>
      </c>
      <c r="BQ3" s="132">
        <v>0</v>
      </c>
      <c r="BR3" s="129">
        <v>15</v>
      </c>
      <c r="BS3" s="132">
        <v>100</v>
      </c>
      <c r="BT3" s="129">
        <v>15</v>
      </c>
      <c r="BU3" s="3"/>
      <c r="BV3" s="3"/>
    </row>
    <row r="4" spans="1:77" ht="41.45" customHeight="1" x14ac:dyDescent="0.25">
      <c r="A4" s="14" t="s">
        <v>208</v>
      </c>
      <c r="C4" s="15"/>
      <c r="D4" s="15" t="s">
        <v>64</v>
      </c>
      <c r="E4" s="93">
        <v>1000</v>
      </c>
      <c r="F4" s="81">
        <v>70</v>
      </c>
      <c r="G4" s="112" t="s">
        <v>271</v>
      </c>
      <c r="H4" s="15"/>
      <c r="I4" s="16" t="s">
        <v>208</v>
      </c>
      <c r="J4" s="66"/>
      <c r="K4" s="66"/>
      <c r="L4" s="114" t="s">
        <v>278</v>
      </c>
      <c r="M4" s="94">
        <v>9999</v>
      </c>
      <c r="N4" s="95">
        <v>3365.4853515625</v>
      </c>
      <c r="O4" s="95">
        <v>2676.202880859375</v>
      </c>
      <c r="P4" s="77"/>
      <c r="Q4" s="96"/>
      <c r="R4" s="96"/>
      <c r="S4" s="97"/>
      <c r="T4" s="51">
        <v>2</v>
      </c>
      <c r="U4" s="51">
        <v>1</v>
      </c>
      <c r="V4" s="52">
        <v>0</v>
      </c>
      <c r="W4" s="52">
        <v>1</v>
      </c>
      <c r="X4" s="52">
        <v>0.55555600000000005</v>
      </c>
      <c r="Y4" s="52">
        <v>1.298022</v>
      </c>
      <c r="Z4" s="52">
        <v>0</v>
      </c>
      <c r="AA4" s="52">
        <v>0</v>
      </c>
      <c r="AB4" s="82">
        <v>4</v>
      </c>
      <c r="AC4" s="82"/>
      <c r="AD4" s="98"/>
      <c r="AE4" s="85" t="s">
        <v>258</v>
      </c>
      <c r="AF4" s="85">
        <v>3358</v>
      </c>
      <c r="AG4" s="85">
        <v>2007</v>
      </c>
      <c r="AH4" s="85">
        <v>110289</v>
      </c>
      <c r="AI4" s="85">
        <v>6</v>
      </c>
      <c r="AJ4" s="85"/>
      <c r="AK4" s="85"/>
      <c r="AL4" s="85"/>
      <c r="AM4" s="85"/>
      <c r="AN4" s="85"/>
      <c r="AO4" s="87">
        <v>41146.364629629628</v>
      </c>
      <c r="AP4" s="89" t="s">
        <v>266</v>
      </c>
      <c r="AQ4" s="85" t="b">
        <v>1</v>
      </c>
      <c r="AR4" s="85" t="b">
        <v>0</v>
      </c>
      <c r="AS4" s="85" t="b">
        <v>1</v>
      </c>
      <c r="AT4" s="85" t="s">
        <v>225</v>
      </c>
      <c r="AU4" s="85">
        <v>160</v>
      </c>
      <c r="AV4" s="89" t="s">
        <v>269</v>
      </c>
      <c r="AW4" s="85" t="b">
        <v>0</v>
      </c>
      <c r="AX4" s="85" t="s">
        <v>273</v>
      </c>
      <c r="AY4" s="89" t="s">
        <v>275</v>
      </c>
      <c r="AZ4" s="85" t="s">
        <v>66</v>
      </c>
      <c r="BA4" s="85" t="str">
        <f>REPLACE(INDEX(GroupVertices[Group], MATCH(Vertices[[#This Row],[Vertex]],GroupVertices[Vertex],0)),1,1,"")</f>
        <v>1</v>
      </c>
      <c r="BB4" s="51" t="s">
        <v>214</v>
      </c>
      <c r="BC4" s="51" t="s">
        <v>214</v>
      </c>
      <c r="BD4" s="51" t="s">
        <v>215</v>
      </c>
      <c r="BE4" s="51" t="s">
        <v>215</v>
      </c>
      <c r="BF4" s="51" t="s">
        <v>217</v>
      </c>
      <c r="BG4" s="51" t="s">
        <v>217</v>
      </c>
      <c r="BH4" s="129" t="s">
        <v>402</v>
      </c>
      <c r="BI4" s="129" t="s">
        <v>402</v>
      </c>
      <c r="BJ4" s="129" t="s">
        <v>407</v>
      </c>
      <c r="BK4" s="129" t="s">
        <v>407</v>
      </c>
      <c r="BL4" s="129">
        <v>0</v>
      </c>
      <c r="BM4" s="132">
        <v>0</v>
      </c>
      <c r="BN4" s="129">
        <v>0</v>
      </c>
      <c r="BO4" s="132">
        <v>0</v>
      </c>
      <c r="BP4" s="129">
        <v>0</v>
      </c>
      <c r="BQ4" s="132">
        <v>0</v>
      </c>
      <c r="BR4" s="129">
        <v>14</v>
      </c>
      <c r="BS4" s="132">
        <v>100</v>
      </c>
      <c r="BT4" s="129">
        <v>14</v>
      </c>
      <c r="BU4" s="2"/>
      <c r="BV4" s="3"/>
      <c r="BW4" s="3"/>
      <c r="BX4" s="3"/>
      <c r="BY4" s="3"/>
    </row>
    <row r="5" spans="1:77" ht="41.45" customHeight="1" x14ac:dyDescent="0.25">
      <c r="A5" s="99" t="s">
        <v>209</v>
      </c>
      <c r="C5" s="100"/>
      <c r="D5" s="100" t="s">
        <v>64</v>
      </c>
      <c r="E5" s="101">
        <v>162</v>
      </c>
      <c r="F5" s="102">
        <v>100</v>
      </c>
      <c r="G5" s="113" t="s">
        <v>272</v>
      </c>
      <c r="H5" s="100"/>
      <c r="I5" s="103" t="s">
        <v>209</v>
      </c>
      <c r="J5" s="104"/>
      <c r="K5" s="104"/>
      <c r="L5" s="115" t="s">
        <v>279</v>
      </c>
      <c r="M5" s="105">
        <v>1</v>
      </c>
      <c r="N5" s="106">
        <v>3365.4853515625</v>
      </c>
      <c r="O5" s="106">
        <v>7322.796875</v>
      </c>
      <c r="P5" s="107"/>
      <c r="Q5" s="108"/>
      <c r="R5" s="108"/>
      <c r="S5" s="109"/>
      <c r="T5" s="51">
        <v>0</v>
      </c>
      <c r="U5" s="51">
        <v>1</v>
      </c>
      <c r="V5" s="52">
        <v>0</v>
      </c>
      <c r="W5" s="52">
        <v>1</v>
      </c>
      <c r="X5" s="52">
        <v>0.33333299999999999</v>
      </c>
      <c r="Y5" s="52">
        <v>0.70164300000000002</v>
      </c>
      <c r="Z5" s="52">
        <v>0</v>
      </c>
      <c r="AA5" s="52">
        <v>0</v>
      </c>
      <c r="AB5" s="110">
        <v>5</v>
      </c>
      <c r="AC5" s="110"/>
      <c r="AD5" s="111"/>
      <c r="AE5" s="85" t="s">
        <v>259</v>
      </c>
      <c r="AF5" s="85">
        <v>131</v>
      </c>
      <c r="AG5" s="85">
        <v>14</v>
      </c>
      <c r="AH5" s="85">
        <v>534</v>
      </c>
      <c r="AI5" s="85">
        <v>964</v>
      </c>
      <c r="AJ5" s="85">
        <v>3600</v>
      </c>
      <c r="AK5" s="85" t="s">
        <v>261</v>
      </c>
      <c r="AL5" s="85" t="s">
        <v>263</v>
      </c>
      <c r="AM5" s="89" t="s">
        <v>264</v>
      </c>
      <c r="AN5" s="85" t="s">
        <v>265</v>
      </c>
      <c r="AO5" s="87">
        <v>42118.583414351851</v>
      </c>
      <c r="AP5" s="89" t="s">
        <v>267</v>
      </c>
      <c r="AQ5" s="85" t="b">
        <v>0</v>
      </c>
      <c r="AR5" s="85" t="b">
        <v>0</v>
      </c>
      <c r="AS5" s="85" t="b">
        <v>1</v>
      </c>
      <c r="AT5" s="85" t="s">
        <v>225</v>
      </c>
      <c r="AU5" s="85">
        <v>0</v>
      </c>
      <c r="AV5" s="89" t="s">
        <v>269</v>
      </c>
      <c r="AW5" s="85" t="b">
        <v>0</v>
      </c>
      <c r="AX5" s="85" t="s">
        <v>273</v>
      </c>
      <c r="AY5" s="89" t="s">
        <v>276</v>
      </c>
      <c r="AZ5" s="85" t="s">
        <v>66</v>
      </c>
      <c r="BA5" s="85" t="str">
        <f>REPLACE(INDEX(GroupVertices[Group], MATCH(Vertices[[#This Row],[Vertex]],GroupVertices[Vertex],0)),1,1,"")</f>
        <v>1</v>
      </c>
      <c r="BB5" s="51"/>
      <c r="BC5" s="51"/>
      <c r="BD5" s="51"/>
      <c r="BE5" s="51"/>
      <c r="BF5" s="51" t="s">
        <v>217</v>
      </c>
      <c r="BG5" s="51" t="s">
        <v>217</v>
      </c>
      <c r="BH5" s="129" t="s">
        <v>403</v>
      </c>
      <c r="BI5" s="129" t="s">
        <v>403</v>
      </c>
      <c r="BJ5" s="129" t="s">
        <v>408</v>
      </c>
      <c r="BK5" s="129" t="s">
        <v>408</v>
      </c>
      <c r="BL5" s="129">
        <v>0</v>
      </c>
      <c r="BM5" s="132">
        <v>0</v>
      </c>
      <c r="BN5" s="129">
        <v>0</v>
      </c>
      <c r="BO5" s="132">
        <v>0</v>
      </c>
      <c r="BP5" s="129">
        <v>0</v>
      </c>
      <c r="BQ5" s="132">
        <v>0</v>
      </c>
      <c r="BR5" s="129">
        <v>16</v>
      </c>
      <c r="BS5" s="132">
        <v>100</v>
      </c>
      <c r="BT5" s="129">
        <v>16</v>
      </c>
      <c r="BU5" s="2"/>
      <c r="BV5" s="3"/>
      <c r="BW5" s="3"/>
      <c r="BX5" s="3"/>
      <c r="BY5" s="3"/>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B3:AB5"/>
    <dataValidation allowBlank="1" errorTitle="Invalid Vertex Visibility" error="You have entered an unrecognized vertex visibility.  Try selecting from the drop-down list instead." sqref="BU3"/>
    <dataValidation allowBlank="1" showErrorMessage="1" sqref="BU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P3:P5">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N3:O5"/>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M3:M5"/>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Q3:Q5"/>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R3:R5"/>
    <dataValidation allowBlank="1" showInputMessage="1" errorTitle="Invalid Vertex Image Key" promptTitle="Vertex Tooltip" prompt="Enter optional text that will pop up when the mouse is hovered over the vertex." sqref="L3:L5"/>
    <dataValidation allowBlank="1" errorTitle="Invalid Vertex Visibility" error="You have entered an unrecognized vertex visibility.  Try selecting from the drop-down list instead." promptTitle="Vertex ID" prompt="This is a unique ID that gets filled in automatically.  Do not edit this column." sqref="AC3:AC5"/>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H3:H5">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I3:I5"/>
    <dataValidation allowBlank="1" showInputMessage="1" promptTitle="Vertex Label Fill Color" prompt="To select an optional fill color for the Label shape, right-click and select Select Color on the right-click menu." sqref="J3:J5"/>
    <dataValidation allowBlank="1" showInputMessage="1" errorTitle="Invalid Vertex Image Key" promptTitle="Vertex Image File" prompt="Enter the path to an image file.  Hover over the column header for examples." sqref="G3:G5"/>
    <dataValidation allowBlank="1" showInputMessage="1" promptTitle="Vertex Color" prompt="To select an optional vertex color, right-click and select Select Color on the right-click menu." sqref="C3:C5"/>
    <dataValidation allowBlank="1" showInputMessage="1" errorTitle="Invalid Vertex Opacity" error="The optional vertex opacity must be a whole number between 0 and 10." promptTitle="Vertex Opacity" prompt="Enter an optional vertex opacity between 0 (transparent) and 100 (opaque)." sqref="F3:F5"/>
    <dataValidation type="list" allowBlank="1" showInputMessage="1" showErrorMessage="1" errorTitle="Invalid Vertex Shape" error="You have entered an invalid vertex shape.  Try selecting from the drop-down list instead." promptTitle="Vertex Shape" prompt="Select an optional vertex shape." sqref="D3:D5">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E3:E5"/>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K3:K5">
      <formula1>ValidVertexLabelPositions</formula1>
    </dataValidation>
    <dataValidation allowBlank="1" showInputMessage="1" showErrorMessage="1" promptTitle="Vertex Name" prompt="Enter the name of the vertex." sqref="A3:A5"/>
  </dataValidations>
  <hyperlinks>
    <hyperlink ref="AM5" r:id="rId1"/>
    <hyperlink ref="AP4" r:id="rId2"/>
    <hyperlink ref="AP5" r:id="rId3"/>
    <hyperlink ref="AV3" r:id="rId4"/>
    <hyperlink ref="AV4" r:id="rId5"/>
    <hyperlink ref="AV5" r:id="rId6"/>
    <hyperlink ref="G3" r:id="rId7"/>
    <hyperlink ref="G4" r:id="rId8"/>
    <hyperlink ref="G5" r:id="rId9"/>
    <hyperlink ref="AY3" r:id="rId10"/>
    <hyperlink ref="AY4" r:id="rId11"/>
    <hyperlink ref="AY5" r:id="rId12"/>
  </hyperlinks>
  <pageMargins left="0.7" right="0.7" top="0.75" bottom="0.75" header="0.3" footer="0.3"/>
  <pageSetup orientation="portrait" horizontalDpi="0" verticalDpi="0" r:id="rId13"/>
  <drawing r:id="rId14"/>
  <legacyDrawing r:id="rId15"/>
  <tableParts count="1">
    <tablePart r:id="rId1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49</v>
      </c>
    </row>
    <row r="2" spans="1:1" ht="15" customHeight="1" x14ac:dyDescent="0.25"/>
    <row r="3" spans="1:1" ht="15" customHeight="1" x14ac:dyDescent="0.25">
      <c r="A3" s="32" t="s">
        <v>50</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AO10"/>
  <sheetViews>
    <sheetView workbookViewId="0">
      <pane ySplit="2" topLeftCell="A3" activePane="bottomLeft" state="frozen"/>
      <selection pane="bottomLeft" activeCell="A3" sqref="A3"/>
    </sheetView>
  </sheetViews>
  <sheetFormatPr defaultRowHeight="15" x14ac:dyDescent="0.25"/>
  <cols>
    <col min="1" max="1" width="9.42578125" style="1" bestFit="1" customWidth="1"/>
    <col min="2" max="2" width="14.28515625" hidden="1" customWidth="1"/>
    <col min="3" max="3" width="15" hidden="1" customWidth="1"/>
    <col min="4" max="4" width="11.140625" hidden="1" customWidth="1"/>
    <col min="5" max="5" width="13" hidden="1" customWidth="1"/>
    <col min="6" max="6" width="8" hidden="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140625" bestFit="1" customWidth="1"/>
    <col min="26" max="26" width="14.5703125" bestFit="1" customWidth="1"/>
    <col min="27" max="27" width="14.7109375" bestFit="1" customWidth="1"/>
    <col min="28" max="28" width="12.5703125" bestFit="1" customWidth="1"/>
    <col min="29" max="29" width="15.7109375" bestFit="1" customWidth="1"/>
    <col min="30" max="30" width="13.7109375" bestFit="1" customWidth="1"/>
    <col min="31" max="31" width="16.85546875" bestFit="1" customWidth="1"/>
    <col min="32" max="32" width="11.42578125" bestFit="1" customWidth="1"/>
    <col min="33" max="33" width="21.5703125" bestFit="1" customWidth="1"/>
    <col min="34" max="34" width="26.85546875" bestFit="1" customWidth="1"/>
    <col min="35" max="35" width="22.42578125" bestFit="1" customWidth="1"/>
    <col min="36" max="36" width="27.85546875" bestFit="1" customWidth="1"/>
    <col min="37" max="37" width="27.140625" bestFit="1" customWidth="1"/>
    <col min="38" max="38" width="32.5703125" bestFit="1" customWidth="1"/>
    <col min="39" max="39" width="18" bestFit="1" customWidth="1"/>
    <col min="40" max="40" width="22.140625" bestFit="1" customWidth="1"/>
    <col min="41" max="41" width="16.28515625" bestFit="1" customWidth="1"/>
  </cols>
  <sheetData>
    <row r="1" spans="1:41" x14ac:dyDescent="0.25">
      <c r="B1" s="68" t="s">
        <v>39</v>
      </c>
      <c r="C1" s="69"/>
      <c r="D1" s="69"/>
      <c r="E1" s="70"/>
      <c r="F1" s="66" t="s">
        <v>43</v>
      </c>
      <c r="G1" s="71" t="s">
        <v>44</v>
      </c>
      <c r="H1" s="72"/>
      <c r="I1" s="73" t="s">
        <v>40</v>
      </c>
      <c r="J1" s="74"/>
      <c r="K1" s="75" t="s">
        <v>42</v>
      </c>
      <c r="L1" s="76"/>
      <c r="M1" s="76"/>
      <c r="N1" s="76"/>
      <c r="O1" s="76"/>
      <c r="P1" s="76"/>
      <c r="Q1" s="76"/>
      <c r="R1" s="76"/>
      <c r="S1" s="76"/>
      <c r="T1" s="76"/>
      <c r="U1" s="76"/>
      <c r="V1" s="76"/>
      <c r="W1" s="76"/>
      <c r="X1" s="76"/>
    </row>
    <row r="2" spans="1:41" s="13" customFormat="1" ht="30" customHeight="1" x14ac:dyDescent="0.25">
      <c r="A2" s="11" t="s">
        <v>144</v>
      </c>
      <c r="B2" s="13" t="s">
        <v>21</v>
      </c>
      <c r="C2" s="13" t="s">
        <v>20</v>
      </c>
      <c r="D2" s="13" t="s">
        <v>11</v>
      </c>
      <c r="E2" s="13" t="s">
        <v>145</v>
      </c>
      <c r="F2" s="13" t="s">
        <v>46</v>
      </c>
      <c r="G2" s="13" t="s">
        <v>167</v>
      </c>
      <c r="H2" s="13" t="s">
        <v>168</v>
      </c>
      <c r="I2" s="13" t="s">
        <v>12</v>
      </c>
      <c r="J2" s="13" t="s">
        <v>166</v>
      </c>
      <c r="K2" s="13" t="s">
        <v>146</v>
      </c>
      <c r="L2" s="13" t="s">
        <v>148</v>
      </c>
      <c r="M2" s="13" t="s">
        <v>149</v>
      </c>
      <c r="N2" s="13" t="s">
        <v>150</v>
      </c>
      <c r="O2" s="13" t="s">
        <v>151</v>
      </c>
      <c r="P2" s="13" t="s">
        <v>170</v>
      </c>
      <c r="Q2" s="13" t="s">
        <v>171</v>
      </c>
      <c r="R2" s="13" t="s">
        <v>152</v>
      </c>
      <c r="S2" s="13" t="s">
        <v>153</v>
      </c>
      <c r="T2" s="13" t="s">
        <v>154</v>
      </c>
      <c r="U2" s="13" t="s">
        <v>155</v>
      </c>
      <c r="V2" s="13" t="s">
        <v>156</v>
      </c>
      <c r="W2" s="13" t="s">
        <v>157</v>
      </c>
      <c r="X2" s="13" t="s">
        <v>158</v>
      </c>
      <c r="Y2" s="13" t="s">
        <v>337</v>
      </c>
      <c r="Z2" s="13" t="s">
        <v>341</v>
      </c>
      <c r="AA2" s="13" t="s">
        <v>345</v>
      </c>
      <c r="AB2" s="13" t="s">
        <v>364</v>
      </c>
      <c r="AC2" s="13" t="s">
        <v>379</v>
      </c>
      <c r="AD2" s="13" t="s">
        <v>387</v>
      </c>
      <c r="AE2" s="13" t="s">
        <v>388</v>
      </c>
      <c r="AF2" s="13" t="s">
        <v>392</v>
      </c>
      <c r="AG2" s="67" t="s">
        <v>426</v>
      </c>
      <c r="AH2" s="67" t="s">
        <v>427</v>
      </c>
      <c r="AI2" s="67" t="s">
        <v>428</v>
      </c>
      <c r="AJ2" s="67" t="s">
        <v>429</v>
      </c>
      <c r="AK2" s="67" t="s">
        <v>430</v>
      </c>
      <c r="AL2" s="67" t="s">
        <v>431</v>
      </c>
      <c r="AM2" s="67" t="s">
        <v>432</v>
      </c>
      <c r="AN2" s="67" t="s">
        <v>433</v>
      </c>
      <c r="AO2" s="67" t="s">
        <v>436</v>
      </c>
    </row>
    <row r="3" spans="1:41" x14ac:dyDescent="0.25">
      <c r="A3" s="125" t="s">
        <v>319</v>
      </c>
      <c r="B3" s="126" t="s">
        <v>321</v>
      </c>
      <c r="C3" s="126" t="s">
        <v>56</v>
      </c>
      <c r="D3" s="117"/>
      <c r="E3" s="116"/>
      <c r="F3" s="118" t="s">
        <v>442</v>
      </c>
      <c r="G3" s="119"/>
      <c r="H3" s="119"/>
      <c r="I3" s="120">
        <v>3</v>
      </c>
      <c r="J3" s="121"/>
      <c r="K3" s="51">
        <v>2</v>
      </c>
      <c r="L3" s="51">
        <v>2</v>
      </c>
      <c r="M3" s="51">
        <v>0</v>
      </c>
      <c r="N3" s="51">
        <v>2</v>
      </c>
      <c r="O3" s="51">
        <v>1</v>
      </c>
      <c r="P3" s="52">
        <v>0</v>
      </c>
      <c r="Q3" s="52">
        <v>0</v>
      </c>
      <c r="R3" s="51">
        <v>1</v>
      </c>
      <c r="S3" s="51">
        <v>0</v>
      </c>
      <c r="T3" s="51">
        <v>2</v>
      </c>
      <c r="U3" s="51">
        <v>2</v>
      </c>
      <c r="V3" s="51">
        <v>1</v>
      </c>
      <c r="W3" s="52">
        <v>0.5</v>
      </c>
      <c r="X3" s="52">
        <v>0.5</v>
      </c>
      <c r="Y3" s="85" t="s">
        <v>214</v>
      </c>
      <c r="Z3" s="85" t="s">
        <v>215</v>
      </c>
      <c r="AA3" s="85" t="s">
        <v>217</v>
      </c>
      <c r="AB3" s="91" t="s">
        <v>365</v>
      </c>
      <c r="AC3" s="91" t="s">
        <v>380</v>
      </c>
      <c r="AD3" s="91"/>
      <c r="AE3" s="91" t="s">
        <v>208</v>
      </c>
      <c r="AF3" s="91" t="s">
        <v>393</v>
      </c>
      <c r="AG3" s="129">
        <v>0</v>
      </c>
      <c r="AH3" s="132">
        <v>0</v>
      </c>
      <c r="AI3" s="129">
        <v>0</v>
      </c>
      <c r="AJ3" s="132">
        <v>0</v>
      </c>
      <c r="AK3" s="129">
        <v>0</v>
      </c>
      <c r="AL3" s="132">
        <v>0</v>
      </c>
      <c r="AM3" s="129">
        <v>30</v>
      </c>
      <c r="AN3" s="132">
        <v>100</v>
      </c>
      <c r="AO3" s="129">
        <v>30</v>
      </c>
    </row>
    <row r="4" spans="1:41" x14ac:dyDescent="0.25">
      <c r="A4" s="125" t="s">
        <v>320</v>
      </c>
      <c r="B4" s="126" t="s">
        <v>322</v>
      </c>
      <c r="C4" s="126" t="s">
        <v>56</v>
      </c>
      <c r="D4" s="122"/>
      <c r="E4" s="100"/>
      <c r="F4" s="103" t="s">
        <v>320</v>
      </c>
      <c r="G4" s="107"/>
      <c r="H4" s="107"/>
      <c r="I4" s="123">
        <v>4</v>
      </c>
      <c r="J4" s="110"/>
      <c r="K4" s="51">
        <v>1</v>
      </c>
      <c r="L4" s="51">
        <v>1</v>
      </c>
      <c r="M4" s="51">
        <v>0</v>
      </c>
      <c r="N4" s="51">
        <v>1</v>
      </c>
      <c r="O4" s="51">
        <v>1</v>
      </c>
      <c r="P4" s="52" t="s">
        <v>330</v>
      </c>
      <c r="Q4" s="52" t="s">
        <v>330</v>
      </c>
      <c r="R4" s="51">
        <v>1</v>
      </c>
      <c r="S4" s="51">
        <v>1</v>
      </c>
      <c r="T4" s="51">
        <v>1</v>
      </c>
      <c r="U4" s="51">
        <v>1</v>
      </c>
      <c r="V4" s="51">
        <v>0</v>
      </c>
      <c r="W4" s="52">
        <v>0</v>
      </c>
      <c r="X4" s="52" t="s">
        <v>330</v>
      </c>
      <c r="Y4" s="85" t="s">
        <v>214</v>
      </c>
      <c r="Z4" s="85" t="s">
        <v>215</v>
      </c>
      <c r="AA4" s="85" t="s">
        <v>216</v>
      </c>
      <c r="AB4" s="91" t="s">
        <v>224</v>
      </c>
      <c r="AC4" s="91" t="s">
        <v>224</v>
      </c>
      <c r="AD4" s="91"/>
      <c r="AE4" s="91"/>
      <c r="AF4" s="91" t="s">
        <v>207</v>
      </c>
      <c r="AG4" s="129">
        <v>0</v>
      </c>
      <c r="AH4" s="132">
        <v>0</v>
      </c>
      <c r="AI4" s="129">
        <v>0</v>
      </c>
      <c r="AJ4" s="132">
        <v>0</v>
      </c>
      <c r="AK4" s="129">
        <v>0</v>
      </c>
      <c r="AL4" s="132">
        <v>0</v>
      </c>
      <c r="AM4" s="129">
        <v>15</v>
      </c>
      <c r="AN4" s="132">
        <v>100</v>
      </c>
      <c r="AO4" s="129">
        <v>15</v>
      </c>
    </row>
    <row r="10" spans="1:41" ht="14.25" customHeight="1" x14ac:dyDescent="0.25"/>
  </sheetData>
  <dataConsolidate/>
  <dataValidations count="8">
    <dataValidation allowBlank="1" showInputMessage="1" promptTitle="Group Vertex Color" prompt="To select a color to use for all vertices in the group, right-click and select Select Color on the right-click menu." sqref="B3"/>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
      <formula1>ValidGroupShapes</formula1>
    </dataValidation>
    <dataValidation allowBlank="1" showInputMessage="1" showErrorMessage="1" promptTitle="Group Name" prompt="Enter the name of the group." sqref="A3"/>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
      <formula1>ValidBooleansDefaultFalse</formula1>
    </dataValidation>
    <dataValidation allowBlank="1" sqref="K3"/>
    <dataValidation allowBlank="1" showInputMessage="1" showErrorMessage="1" errorTitle="Invalid Group Collapsed" error="You have entered an unrecognized &quot;group collapsed.&quot;  Try selecting from the drop-down list instead." promptTitle="Group Label" prompt="Enter an optional group label." sqref="F3"/>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4"/>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ht="15" customHeight="1" x14ac:dyDescent="0.25">
      <c r="A1" s="11" t="s">
        <v>144</v>
      </c>
      <c r="B1" s="11" t="s">
        <v>5</v>
      </c>
      <c r="C1" s="11" t="s">
        <v>147</v>
      </c>
    </row>
    <row r="2" spans="1:3" x14ac:dyDescent="0.25">
      <c r="A2" s="85" t="s">
        <v>319</v>
      </c>
      <c r="B2" s="91" t="s">
        <v>209</v>
      </c>
      <c r="C2" s="85">
        <f>VLOOKUP(GroupVertices[[#This Row],[Vertex]], Vertices[], MATCH("ID", Vertices[#Headers], 0), FALSE)</f>
        <v>5</v>
      </c>
    </row>
    <row r="3" spans="1:3" x14ac:dyDescent="0.25">
      <c r="A3" s="85" t="s">
        <v>319</v>
      </c>
      <c r="B3" s="91" t="s">
        <v>208</v>
      </c>
      <c r="C3" s="85">
        <f>VLOOKUP(GroupVertices[[#This Row],[Vertex]], Vertices[], MATCH("ID", Vertices[#Headers], 0), FALSE)</f>
        <v>4</v>
      </c>
    </row>
    <row r="4" spans="1:3" x14ac:dyDescent="0.25">
      <c r="A4" s="85" t="s">
        <v>320</v>
      </c>
      <c r="B4" s="91" t="s">
        <v>207</v>
      </c>
      <c r="C4" s="85">
        <f>VLOOKUP(GroupVertices[[#This Row],[Vertex]], Vertices[], MATCH("ID", Vertices[#Headers], 0), FALSE)</f>
        <v>3</v>
      </c>
    </row>
  </sheetData>
  <dataConsolidate/>
  <dataValidations xWindow="58" yWindow="226" count="3">
    <dataValidation allowBlank="1" showInputMessage="1" showErrorMessage="1" promptTitle="Group Name" prompt="Enter the name of the group.  The group name must also be entered on the Groups worksheet." sqref="A2"/>
    <dataValidation allowBlank="1" showInputMessage="1" showErrorMessage="1" promptTitle="Vertex Name" prompt="Enter the name of a vertex to include in the group." sqref="B2"/>
    <dataValidation allowBlank="1" showInputMessage="1" promptTitle="Vertex ID" prompt="This is the value of the hidden ID cell in the Vertices worksheet.  It gets filled in by the items on the NodeXL, Analysis, Groups menu." sqref="C2"/>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workbookViewId="0">
      <selection activeCell="C40" sqref="C40"/>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162</v>
      </c>
      <c r="B1" s="13" t="s">
        <v>17</v>
      </c>
      <c r="D1" t="s">
        <v>79</v>
      </c>
      <c r="E1" t="s">
        <v>80</v>
      </c>
      <c r="F1" s="37" t="s">
        <v>86</v>
      </c>
      <c r="G1" s="38" t="s">
        <v>87</v>
      </c>
      <c r="H1" s="37" t="s">
        <v>92</v>
      </c>
      <c r="I1" s="38" t="s">
        <v>93</v>
      </c>
      <c r="J1" s="37" t="s">
        <v>98</v>
      </c>
      <c r="K1" s="38" t="s">
        <v>99</v>
      </c>
      <c r="L1" s="37" t="s">
        <v>104</v>
      </c>
      <c r="M1" s="38" t="s">
        <v>105</v>
      </c>
      <c r="N1" s="37" t="s">
        <v>110</v>
      </c>
      <c r="O1" s="38" t="s">
        <v>111</v>
      </c>
      <c r="P1" s="38" t="s">
        <v>138</v>
      </c>
      <c r="Q1" s="38" t="s">
        <v>139</v>
      </c>
      <c r="R1" s="37" t="s">
        <v>116</v>
      </c>
      <c r="S1" s="37" t="s">
        <v>117</v>
      </c>
      <c r="T1" s="37" t="s">
        <v>122</v>
      </c>
      <c r="U1" s="38" t="s">
        <v>123</v>
      </c>
      <c r="W1" t="s">
        <v>127</v>
      </c>
      <c r="X1" t="s">
        <v>17</v>
      </c>
    </row>
    <row r="2" spans="1:24" ht="15.75" thickTop="1" x14ac:dyDescent="0.25">
      <c r="A2" s="36" t="s">
        <v>326</v>
      </c>
      <c r="B2" s="36" t="s">
        <v>280</v>
      </c>
      <c r="D2" s="33">
        <f>MIN(Vertices[Degree])</f>
        <v>0</v>
      </c>
      <c r="E2" s="3">
        <f>COUNTIF(Vertices[Degree], "&gt;= " &amp; D2) - COUNTIF(Vertices[Degree], "&gt;=" &amp; D3)</f>
        <v>0</v>
      </c>
      <c r="F2" s="39">
        <f>MIN(Vertices[In-Degree])</f>
        <v>0</v>
      </c>
      <c r="G2" s="40">
        <f>COUNTIF(Vertices[In-Degree], "&gt;= " &amp; F2) - COUNTIF(Vertices[In-Degree], "&gt;=" &amp; F3)</f>
        <v>1</v>
      </c>
      <c r="H2" s="39">
        <f>MIN(Vertices[Out-Degree])</f>
        <v>1</v>
      </c>
      <c r="I2" s="40">
        <f>COUNTIF(Vertices[Out-Degree], "&gt;= " &amp; H2) - COUNTIF(Vertices[Out-Degree], "&gt;=" &amp; H3)</f>
        <v>0</v>
      </c>
      <c r="J2" s="39">
        <f>MIN(Vertices[Betweenness Centrality])</f>
        <v>0</v>
      </c>
      <c r="K2" s="40">
        <f>COUNTIF(Vertices[Betweenness Centrality], "&gt;= " &amp; J2) - COUNTIF(Vertices[Betweenness Centrality], "&gt;=" &amp; J3)</f>
        <v>0</v>
      </c>
      <c r="L2" s="39">
        <f>MIN(Vertices[Closeness Centrality])</f>
        <v>0</v>
      </c>
      <c r="M2" s="40">
        <f>COUNTIF(Vertices[Closeness Centrality], "&gt;= " &amp; L2) - COUNTIF(Vertices[Closeness Centrality], "&gt;=" &amp; L3)</f>
        <v>1</v>
      </c>
      <c r="N2" s="39">
        <f>MIN(Vertices[Eigenvector Centrality])</f>
        <v>0.111111</v>
      </c>
      <c r="O2" s="40">
        <f>COUNTIF(Vertices[Eigenvector Centrality], "&gt;= " &amp; N2) - COUNTIF(Vertices[Eigenvector Centrality], "&gt;=" &amp; N3)</f>
        <v>1</v>
      </c>
      <c r="P2" s="39">
        <f>MIN(Vertices[PageRank])</f>
        <v>0.70164300000000002</v>
      </c>
      <c r="Q2" s="40">
        <f>COUNTIF(Vertices[PageRank], "&gt;= " &amp; P2) - COUNTIF(Vertices[PageRank], "&gt;=" &amp; P3)</f>
        <v>1</v>
      </c>
      <c r="R2" s="39">
        <f>MIN(Vertices[Clustering Coefficient])</f>
        <v>0</v>
      </c>
      <c r="S2" s="45">
        <f>COUNTIF(Vertices[Clustering Coefficient], "&gt;= " &amp; R2) - COUNTIF(Vertices[Clustering Coefficient], "&gt;=" &amp; R3)</f>
        <v>0</v>
      </c>
      <c r="T2" s="39" t="e">
        <f ca="1">MIN(INDIRECT(DynamicFilterSourceColumnRange))</f>
        <v>#REF!</v>
      </c>
      <c r="U2" s="40" t="e">
        <f t="shared" ref="U2:U57" ca="1" si="0">COUNTIF(INDIRECT(DynamicFilterSourceColumnRange), "&gt;= " &amp; T2) - COUNTIF(INDIRECT(DynamicFilterSourceColumnRange), "&gt;=" &amp; T3)</f>
        <v>#REF!</v>
      </c>
      <c r="W2" t="s">
        <v>124</v>
      </c>
      <c r="X2">
        <f>ROWS(HistogramBins[Degree Bin]) - 1</f>
        <v>55</v>
      </c>
    </row>
    <row r="3" spans="1:24" x14ac:dyDescent="0.25">
      <c r="A3" s="127"/>
      <c r="B3" s="127"/>
      <c r="D3" s="34">
        <f t="shared" ref="D3:D26" si="1">D2+($D$57-$D$2)/BinDivisor</f>
        <v>0</v>
      </c>
      <c r="E3" s="3">
        <f>COUNTIF(Vertices[Degree], "&gt;= " &amp; D3) - COUNTIF(Vertices[Degree], "&gt;=" &amp; D4)</f>
        <v>0</v>
      </c>
      <c r="F3" s="41">
        <f t="shared" ref="F3:F26" si="2">F2+($F$57-$F$2)/BinDivisor</f>
        <v>3.6363636363636362E-2</v>
      </c>
      <c r="G3" s="42">
        <f>COUNTIF(Vertices[In-Degree], "&gt;= " &amp; F3) - COUNTIF(Vertices[In-Degree], "&gt;=" &amp; F4)</f>
        <v>0</v>
      </c>
      <c r="H3" s="41">
        <f t="shared" ref="H3:H26" si="3">H2+($H$57-$H$2)/BinDivisor</f>
        <v>1</v>
      </c>
      <c r="I3" s="42">
        <f>COUNTIF(Vertices[Out-Degree], "&gt;= " &amp; H3) - COUNTIF(Vertices[Out-Degree], "&gt;=" &amp; H4)</f>
        <v>0</v>
      </c>
      <c r="J3" s="41">
        <f t="shared" ref="J3:J26" si="4">J2+($J$57-$J$2)/BinDivisor</f>
        <v>0</v>
      </c>
      <c r="K3" s="42">
        <f>COUNTIF(Vertices[Betweenness Centrality], "&gt;= " &amp; J3) - COUNTIF(Vertices[Betweenness Centrality], "&gt;=" &amp; J4)</f>
        <v>0</v>
      </c>
      <c r="L3" s="41">
        <f t="shared" ref="L3:L26" si="5">L2+($L$57-$L$2)/BinDivisor</f>
        <v>1.8181818181818181E-2</v>
      </c>
      <c r="M3" s="42">
        <f>COUNTIF(Vertices[Closeness Centrality], "&gt;= " &amp; L3) - COUNTIF(Vertices[Closeness Centrality], "&gt;=" &amp; L4)</f>
        <v>0</v>
      </c>
      <c r="N3" s="41">
        <f t="shared" ref="N3:N26" si="6">N2+($N$57-$N$2)/BinDivisor</f>
        <v>0.11919181818181818</v>
      </c>
      <c r="O3" s="42">
        <f>COUNTIF(Vertices[Eigenvector Centrality], "&gt;= " &amp; N3) - COUNTIF(Vertices[Eigenvector Centrality], "&gt;=" &amp; N4)</f>
        <v>0</v>
      </c>
      <c r="P3" s="41">
        <f t="shared" ref="P3:P26" si="7">P2+($P$57-$P$2)/BinDivisor</f>
        <v>0.71248625454545456</v>
      </c>
      <c r="Q3" s="42">
        <f>COUNTIF(Vertices[PageRank], "&gt;= " &amp; P3) - COUNTIF(Vertices[PageRank], "&gt;=" &amp; P4)</f>
        <v>0</v>
      </c>
      <c r="R3" s="41">
        <f t="shared" ref="R3:R26" si="8">R2+($R$57-$R$2)/BinDivisor</f>
        <v>0</v>
      </c>
      <c r="S3" s="46">
        <f>COUNTIF(Vertices[Clustering Coefficient], "&gt;= " &amp; R3) - COUNTIF(Vertices[Clustering Coefficient], "&gt;=" &amp; R4)</f>
        <v>0</v>
      </c>
      <c r="T3" s="41" t="e">
        <f t="shared" ref="T3:T26" ca="1" si="9">T2+($T$57-$T$2)/BinDivisor</f>
        <v>#REF!</v>
      </c>
      <c r="U3" s="42" t="e">
        <f t="shared" ca="1" si="0"/>
        <v>#REF!</v>
      </c>
      <c r="W3" t="s">
        <v>125</v>
      </c>
      <c r="X3" t="s">
        <v>85</v>
      </c>
    </row>
    <row r="4" spans="1:24" x14ac:dyDescent="0.25">
      <c r="A4" s="36" t="s">
        <v>146</v>
      </c>
      <c r="B4" s="36">
        <v>3</v>
      </c>
      <c r="D4" s="34">
        <f t="shared" si="1"/>
        <v>0</v>
      </c>
      <c r="E4" s="3">
        <f>COUNTIF(Vertices[Degree], "&gt;= " &amp; D4) - COUNTIF(Vertices[Degree], "&gt;=" &amp; D5)</f>
        <v>0</v>
      </c>
      <c r="F4" s="39">
        <f t="shared" si="2"/>
        <v>7.2727272727272724E-2</v>
      </c>
      <c r="G4" s="40">
        <f>COUNTIF(Vertices[In-Degree], "&gt;= " &amp; F4) - COUNTIF(Vertices[In-Degree], "&gt;=" &amp; F5)</f>
        <v>0</v>
      </c>
      <c r="H4" s="39">
        <f t="shared" si="3"/>
        <v>1</v>
      </c>
      <c r="I4" s="40">
        <f>COUNTIF(Vertices[Out-Degree], "&gt;= " &amp; H4) - COUNTIF(Vertices[Out-Degree], "&gt;=" &amp; H5)</f>
        <v>0</v>
      </c>
      <c r="J4" s="39">
        <f t="shared" si="4"/>
        <v>0</v>
      </c>
      <c r="K4" s="40">
        <f>COUNTIF(Vertices[Betweenness Centrality], "&gt;= " &amp; J4) - COUNTIF(Vertices[Betweenness Centrality], "&gt;=" &amp; J5)</f>
        <v>0</v>
      </c>
      <c r="L4" s="39">
        <f t="shared" si="5"/>
        <v>3.6363636363636362E-2</v>
      </c>
      <c r="M4" s="40">
        <f>COUNTIF(Vertices[Closeness Centrality], "&gt;= " &amp; L4) - COUNTIF(Vertices[Closeness Centrality], "&gt;=" &amp; L5)</f>
        <v>0</v>
      </c>
      <c r="N4" s="39">
        <f t="shared" si="6"/>
        <v>0.12727263636363637</v>
      </c>
      <c r="O4" s="40">
        <f>COUNTIF(Vertices[Eigenvector Centrality], "&gt;= " &amp; N4) - COUNTIF(Vertices[Eigenvector Centrality], "&gt;=" &amp; N5)</f>
        <v>0</v>
      </c>
      <c r="P4" s="39">
        <f t="shared" si="7"/>
        <v>0.7233295090909091</v>
      </c>
      <c r="Q4" s="40">
        <f>COUNTIF(Vertices[PageRank], "&gt;= " &amp; P4) - COUNTIF(Vertices[PageRank], "&gt;=" &amp; P5)</f>
        <v>0</v>
      </c>
      <c r="R4" s="39">
        <f t="shared" si="8"/>
        <v>0</v>
      </c>
      <c r="S4" s="45">
        <f>COUNTIF(Vertices[Clustering Coefficient], "&gt;= " &amp; R4) - COUNTIF(Vertices[Clustering Coefficient], "&gt;=" &amp; R5)</f>
        <v>0</v>
      </c>
      <c r="T4" s="39" t="e">
        <f t="shared" ca="1" si="9"/>
        <v>#REF!</v>
      </c>
      <c r="U4" s="40" t="e">
        <f t="shared" ca="1" si="0"/>
        <v>#REF!</v>
      </c>
      <c r="W4" s="12" t="s">
        <v>126</v>
      </c>
      <c r="X4" s="12" t="s">
        <v>128</v>
      </c>
    </row>
    <row r="5" spans="1:24" x14ac:dyDescent="0.25">
      <c r="A5" s="127"/>
      <c r="B5" s="127"/>
      <c r="D5" s="34">
        <f t="shared" si="1"/>
        <v>0</v>
      </c>
      <c r="E5" s="3">
        <f>COUNTIF(Vertices[Degree], "&gt;= " &amp; D5) - COUNTIF(Vertices[Degree], "&gt;=" &amp; D6)</f>
        <v>0</v>
      </c>
      <c r="F5" s="41">
        <f t="shared" si="2"/>
        <v>0.10909090909090909</v>
      </c>
      <c r="G5" s="42">
        <f>COUNTIF(Vertices[In-Degree], "&gt;= " &amp; F5) - COUNTIF(Vertices[In-Degree], "&gt;=" &amp; F6)</f>
        <v>0</v>
      </c>
      <c r="H5" s="41">
        <f t="shared" si="3"/>
        <v>1</v>
      </c>
      <c r="I5" s="42">
        <f>COUNTIF(Vertices[Out-Degree], "&gt;= " &amp; H5) - COUNTIF(Vertices[Out-Degree], "&gt;=" &amp; H6)</f>
        <v>0</v>
      </c>
      <c r="J5" s="41">
        <f t="shared" si="4"/>
        <v>0</v>
      </c>
      <c r="K5" s="42">
        <f>COUNTIF(Vertices[Betweenness Centrality], "&gt;= " &amp; J5) - COUNTIF(Vertices[Betweenness Centrality], "&gt;=" &amp; J6)</f>
        <v>0</v>
      </c>
      <c r="L5" s="41">
        <f t="shared" si="5"/>
        <v>5.4545454545454543E-2</v>
      </c>
      <c r="M5" s="42">
        <f>COUNTIF(Vertices[Closeness Centrality], "&gt;= " &amp; L5) - COUNTIF(Vertices[Closeness Centrality], "&gt;=" &amp; L6)</f>
        <v>0</v>
      </c>
      <c r="N5" s="41">
        <f t="shared" si="6"/>
        <v>0.13535345454545455</v>
      </c>
      <c r="O5" s="42">
        <f>COUNTIF(Vertices[Eigenvector Centrality], "&gt;= " &amp; N5) - COUNTIF(Vertices[Eigenvector Centrality], "&gt;=" &amp; N6)</f>
        <v>0</v>
      </c>
      <c r="P5" s="41">
        <f t="shared" si="7"/>
        <v>0.73417276363636363</v>
      </c>
      <c r="Q5" s="42">
        <f>COUNTIF(Vertices[PageRank], "&gt;= " &amp; P5) - COUNTIF(Vertices[PageRank], "&gt;=" &amp; P6)</f>
        <v>0</v>
      </c>
      <c r="R5" s="41">
        <f t="shared" si="8"/>
        <v>0</v>
      </c>
      <c r="S5" s="46">
        <f>COUNTIF(Vertices[Clustering Coefficient], "&gt;= " &amp; R5) - COUNTIF(Vertices[Clustering Coefficient], "&gt;=" &amp; R6)</f>
        <v>0</v>
      </c>
      <c r="T5" s="41" t="e">
        <f t="shared" ca="1" si="9"/>
        <v>#REF!</v>
      </c>
      <c r="U5" s="42" t="e">
        <f t="shared" ca="1" si="0"/>
        <v>#REF!</v>
      </c>
    </row>
    <row r="6" spans="1:24" x14ac:dyDescent="0.25">
      <c r="A6" s="36" t="s">
        <v>148</v>
      </c>
      <c r="B6" s="36">
        <v>3</v>
      </c>
      <c r="D6" s="34">
        <f t="shared" si="1"/>
        <v>0</v>
      </c>
      <c r="E6" s="3">
        <f>COUNTIF(Vertices[Degree], "&gt;= " &amp; D6) - COUNTIF(Vertices[Degree], "&gt;=" &amp; D7)</f>
        <v>0</v>
      </c>
      <c r="F6" s="39">
        <f t="shared" si="2"/>
        <v>0.14545454545454545</v>
      </c>
      <c r="G6" s="40">
        <f>COUNTIF(Vertices[In-Degree], "&gt;= " &amp; F6) - COUNTIF(Vertices[In-Degree], "&gt;=" &amp; F7)</f>
        <v>0</v>
      </c>
      <c r="H6" s="39">
        <f t="shared" si="3"/>
        <v>1</v>
      </c>
      <c r="I6" s="40">
        <f>COUNTIF(Vertices[Out-Degree], "&gt;= " &amp; H6) - COUNTIF(Vertices[Out-Degree], "&gt;=" &amp; H7)</f>
        <v>0</v>
      </c>
      <c r="J6" s="39">
        <f t="shared" si="4"/>
        <v>0</v>
      </c>
      <c r="K6" s="40">
        <f>COUNTIF(Vertices[Betweenness Centrality], "&gt;= " &amp; J6) - COUNTIF(Vertices[Betweenness Centrality], "&gt;=" &amp; J7)</f>
        <v>0</v>
      </c>
      <c r="L6" s="39">
        <f t="shared" si="5"/>
        <v>7.2727272727272724E-2</v>
      </c>
      <c r="M6" s="40">
        <f>COUNTIF(Vertices[Closeness Centrality], "&gt;= " &amp; L6) - COUNTIF(Vertices[Closeness Centrality], "&gt;=" &amp; L7)</f>
        <v>0</v>
      </c>
      <c r="N6" s="39">
        <f t="shared" si="6"/>
        <v>0.14343427272727274</v>
      </c>
      <c r="O6" s="40">
        <f>COUNTIF(Vertices[Eigenvector Centrality], "&gt;= " &amp; N6) - COUNTIF(Vertices[Eigenvector Centrality], "&gt;=" &amp; N7)</f>
        <v>0</v>
      </c>
      <c r="P6" s="39">
        <f t="shared" si="7"/>
        <v>0.74501601818181817</v>
      </c>
      <c r="Q6" s="40">
        <f>COUNTIF(Vertices[PageRank], "&gt;= " &amp; P6) - COUNTIF(Vertices[PageRank], "&gt;=" &amp; P7)</f>
        <v>0</v>
      </c>
      <c r="R6" s="39">
        <f t="shared" si="8"/>
        <v>0</v>
      </c>
      <c r="S6" s="45">
        <f>COUNTIF(Vertices[Clustering Coefficient], "&gt;= " &amp; R6) - COUNTIF(Vertices[Clustering Coefficient], "&gt;=" &amp; R7)</f>
        <v>0</v>
      </c>
      <c r="T6" s="39" t="e">
        <f t="shared" ca="1" si="9"/>
        <v>#REF!</v>
      </c>
      <c r="U6" s="40" t="e">
        <f t="shared" ca="1" si="0"/>
        <v>#REF!</v>
      </c>
    </row>
    <row r="7" spans="1:24" x14ac:dyDescent="0.25">
      <c r="A7" s="36" t="s">
        <v>149</v>
      </c>
      <c r="B7" s="36">
        <v>0</v>
      </c>
      <c r="D7" s="34">
        <f t="shared" si="1"/>
        <v>0</v>
      </c>
      <c r="E7" s="3">
        <f>COUNTIF(Vertices[Degree], "&gt;= " &amp; D7) - COUNTIF(Vertices[Degree], "&gt;=" &amp; D8)</f>
        <v>0</v>
      </c>
      <c r="F7" s="41">
        <f t="shared" si="2"/>
        <v>0.18181818181818182</v>
      </c>
      <c r="G7" s="42">
        <f>COUNTIF(Vertices[In-Degree], "&gt;= " &amp; F7) - COUNTIF(Vertices[In-Degree], "&gt;=" &amp; F8)</f>
        <v>0</v>
      </c>
      <c r="H7" s="41">
        <f t="shared" si="3"/>
        <v>1</v>
      </c>
      <c r="I7" s="42">
        <f>COUNTIF(Vertices[Out-Degree], "&gt;= " &amp; H7) - COUNTIF(Vertices[Out-Degree], "&gt;=" &amp; H8)</f>
        <v>0</v>
      </c>
      <c r="J7" s="41">
        <f t="shared" si="4"/>
        <v>0</v>
      </c>
      <c r="K7" s="42">
        <f>COUNTIF(Vertices[Betweenness Centrality], "&gt;= " &amp; J7) - COUNTIF(Vertices[Betweenness Centrality], "&gt;=" &amp; J8)</f>
        <v>0</v>
      </c>
      <c r="L7" s="41">
        <f t="shared" si="5"/>
        <v>9.0909090909090912E-2</v>
      </c>
      <c r="M7" s="42">
        <f>COUNTIF(Vertices[Closeness Centrality], "&gt;= " &amp; L7) - COUNTIF(Vertices[Closeness Centrality], "&gt;=" &amp; L8)</f>
        <v>0</v>
      </c>
      <c r="N7" s="41">
        <f t="shared" si="6"/>
        <v>0.15151509090909093</v>
      </c>
      <c r="O7" s="42">
        <f>COUNTIF(Vertices[Eigenvector Centrality], "&gt;= " &amp; N7) - COUNTIF(Vertices[Eigenvector Centrality], "&gt;=" &amp; N8)</f>
        <v>0</v>
      </c>
      <c r="P7" s="41">
        <f t="shared" si="7"/>
        <v>0.75585927272727271</v>
      </c>
      <c r="Q7" s="42">
        <f>COUNTIF(Vertices[PageRank], "&gt;= " &amp; P7) - COUNTIF(Vertices[PageRank], "&gt;=" &amp; P8)</f>
        <v>0</v>
      </c>
      <c r="R7" s="41">
        <f t="shared" si="8"/>
        <v>0</v>
      </c>
      <c r="S7" s="46">
        <f>COUNTIF(Vertices[Clustering Coefficient], "&gt;= " &amp; R7) - COUNTIF(Vertices[Clustering Coefficient], "&gt;=" &amp; R8)</f>
        <v>0</v>
      </c>
      <c r="T7" s="41" t="e">
        <f t="shared" ca="1" si="9"/>
        <v>#REF!</v>
      </c>
      <c r="U7" s="42" t="e">
        <f t="shared" ca="1" si="0"/>
        <v>#REF!</v>
      </c>
    </row>
    <row r="8" spans="1:24" x14ac:dyDescent="0.25">
      <c r="A8" s="36" t="s">
        <v>150</v>
      </c>
      <c r="B8" s="36">
        <v>3</v>
      </c>
      <c r="D8" s="34">
        <f t="shared" si="1"/>
        <v>0</v>
      </c>
      <c r="E8" s="3">
        <f>COUNTIF(Vertices[Degree], "&gt;= " &amp; D8) - COUNTIF(Vertices[Degree], "&gt;=" &amp; D9)</f>
        <v>0</v>
      </c>
      <c r="F8" s="39">
        <f t="shared" si="2"/>
        <v>0.2181818181818182</v>
      </c>
      <c r="G8" s="40">
        <f>COUNTIF(Vertices[In-Degree], "&gt;= " &amp; F8) - COUNTIF(Vertices[In-Degree], "&gt;=" &amp; F9)</f>
        <v>0</v>
      </c>
      <c r="H8" s="39">
        <f t="shared" si="3"/>
        <v>1</v>
      </c>
      <c r="I8" s="40">
        <f>COUNTIF(Vertices[Out-Degree], "&gt;= " &amp; H8) - COUNTIF(Vertices[Out-Degree], "&gt;=" &amp; H9)</f>
        <v>0</v>
      </c>
      <c r="J8" s="39">
        <f t="shared" si="4"/>
        <v>0</v>
      </c>
      <c r="K8" s="40">
        <f>COUNTIF(Vertices[Betweenness Centrality], "&gt;= " &amp; J8) - COUNTIF(Vertices[Betweenness Centrality], "&gt;=" &amp; J9)</f>
        <v>0</v>
      </c>
      <c r="L8" s="39">
        <f t="shared" si="5"/>
        <v>0.1090909090909091</v>
      </c>
      <c r="M8" s="40">
        <f>COUNTIF(Vertices[Closeness Centrality], "&gt;= " &amp; L8) - COUNTIF(Vertices[Closeness Centrality], "&gt;=" &amp; L9)</f>
        <v>0</v>
      </c>
      <c r="N8" s="39">
        <f t="shared" si="6"/>
        <v>0.15959590909090912</v>
      </c>
      <c r="O8" s="40">
        <f>COUNTIF(Vertices[Eigenvector Centrality], "&gt;= " &amp; N8) - COUNTIF(Vertices[Eigenvector Centrality], "&gt;=" &amp; N9)</f>
        <v>0</v>
      </c>
      <c r="P8" s="39">
        <f t="shared" si="7"/>
        <v>0.76670252727272725</v>
      </c>
      <c r="Q8" s="40">
        <f>COUNTIF(Vertices[PageRank], "&gt;= " &amp; P8) - COUNTIF(Vertices[PageRank], "&gt;=" &amp; P9)</f>
        <v>0</v>
      </c>
      <c r="R8" s="39">
        <f t="shared" si="8"/>
        <v>0</v>
      </c>
      <c r="S8" s="45">
        <f>COUNTIF(Vertices[Clustering Coefficient], "&gt;= " &amp; R8) - COUNTIF(Vertices[Clustering Coefficient], "&gt;=" &amp; R9)</f>
        <v>0</v>
      </c>
      <c r="T8" s="39" t="e">
        <f t="shared" ca="1" si="9"/>
        <v>#REF!</v>
      </c>
      <c r="U8" s="40" t="e">
        <f t="shared" ca="1" si="0"/>
        <v>#REF!</v>
      </c>
    </row>
    <row r="9" spans="1:24" x14ac:dyDescent="0.25">
      <c r="A9" s="127"/>
      <c r="B9" s="127"/>
      <c r="D9" s="34">
        <f t="shared" si="1"/>
        <v>0</v>
      </c>
      <c r="E9" s="3">
        <f>COUNTIF(Vertices[Degree], "&gt;= " &amp; D9) - COUNTIF(Vertices[Degree], "&gt;=" &amp; D10)</f>
        <v>0</v>
      </c>
      <c r="F9" s="41">
        <f t="shared" si="2"/>
        <v>0.25454545454545457</v>
      </c>
      <c r="G9" s="42">
        <f>COUNTIF(Vertices[In-Degree], "&gt;= " &amp; F9) - COUNTIF(Vertices[In-Degree], "&gt;=" &amp; F10)</f>
        <v>0</v>
      </c>
      <c r="H9" s="41">
        <f t="shared" si="3"/>
        <v>1</v>
      </c>
      <c r="I9" s="42">
        <f>COUNTIF(Vertices[Out-Degree], "&gt;= " &amp; H9) - COUNTIF(Vertices[Out-Degree], "&gt;=" &amp; H10)</f>
        <v>0</v>
      </c>
      <c r="J9" s="41">
        <f t="shared" si="4"/>
        <v>0</v>
      </c>
      <c r="K9" s="42">
        <f>COUNTIF(Vertices[Betweenness Centrality], "&gt;= " &amp; J9) - COUNTIF(Vertices[Betweenness Centrality], "&gt;=" &amp; J10)</f>
        <v>0</v>
      </c>
      <c r="L9" s="41">
        <f t="shared" si="5"/>
        <v>0.12727272727272729</v>
      </c>
      <c r="M9" s="42">
        <f>COUNTIF(Vertices[Closeness Centrality], "&gt;= " &amp; L9) - COUNTIF(Vertices[Closeness Centrality], "&gt;=" &amp; L10)</f>
        <v>0</v>
      </c>
      <c r="N9" s="41">
        <f t="shared" si="6"/>
        <v>0.16767672727272731</v>
      </c>
      <c r="O9" s="42">
        <f>COUNTIF(Vertices[Eigenvector Centrality], "&gt;= " &amp; N9) - COUNTIF(Vertices[Eigenvector Centrality], "&gt;=" &amp; N10)</f>
        <v>0</v>
      </c>
      <c r="P9" s="41">
        <f t="shared" si="7"/>
        <v>0.77754578181818179</v>
      </c>
      <c r="Q9" s="42">
        <f>COUNTIF(Vertices[PageRank], "&gt;= " &amp; P9) - COUNTIF(Vertices[PageRank], "&gt;=" &amp; P10)</f>
        <v>0</v>
      </c>
      <c r="R9" s="41">
        <f t="shared" si="8"/>
        <v>0</v>
      </c>
      <c r="S9" s="46">
        <f>COUNTIF(Vertices[Clustering Coefficient], "&gt;= " &amp; R9) - COUNTIF(Vertices[Clustering Coefficient], "&gt;=" &amp; R10)</f>
        <v>0</v>
      </c>
      <c r="T9" s="41" t="e">
        <f t="shared" ca="1" si="9"/>
        <v>#REF!</v>
      </c>
      <c r="U9" s="42" t="e">
        <f t="shared" ca="1" si="0"/>
        <v>#REF!</v>
      </c>
    </row>
    <row r="10" spans="1:24" x14ac:dyDescent="0.25">
      <c r="A10" s="36" t="s">
        <v>151</v>
      </c>
      <c r="B10" s="36">
        <v>2</v>
      </c>
      <c r="D10" s="34">
        <f t="shared" si="1"/>
        <v>0</v>
      </c>
      <c r="E10" s="3">
        <f>COUNTIF(Vertices[Degree], "&gt;= " &amp; D10) - COUNTIF(Vertices[Degree], "&gt;=" &amp; D11)</f>
        <v>0</v>
      </c>
      <c r="F10" s="39">
        <f t="shared" si="2"/>
        <v>0.29090909090909095</v>
      </c>
      <c r="G10" s="40">
        <f>COUNTIF(Vertices[In-Degree], "&gt;= " &amp; F10) - COUNTIF(Vertices[In-Degree], "&gt;=" &amp; F11)</f>
        <v>0</v>
      </c>
      <c r="H10" s="39">
        <f t="shared" si="3"/>
        <v>1</v>
      </c>
      <c r="I10" s="40">
        <f>COUNTIF(Vertices[Out-Degree], "&gt;= " &amp; H10) - COUNTIF(Vertices[Out-Degree], "&gt;=" &amp; H11)</f>
        <v>0</v>
      </c>
      <c r="J10" s="39">
        <f t="shared" si="4"/>
        <v>0</v>
      </c>
      <c r="K10" s="40">
        <f>COUNTIF(Vertices[Betweenness Centrality], "&gt;= " &amp; J10) - COUNTIF(Vertices[Betweenness Centrality], "&gt;=" &amp; J11)</f>
        <v>0</v>
      </c>
      <c r="L10" s="39">
        <f t="shared" si="5"/>
        <v>0.14545454545454548</v>
      </c>
      <c r="M10" s="40">
        <f>COUNTIF(Vertices[Closeness Centrality], "&gt;= " &amp; L10) - COUNTIF(Vertices[Closeness Centrality], "&gt;=" &amp; L11)</f>
        <v>0</v>
      </c>
      <c r="N10" s="39">
        <f t="shared" si="6"/>
        <v>0.1757575454545455</v>
      </c>
      <c r="O10" s="40">
        <f>COUNTIF(Vertices[Eigenvector Centrality], "&gt;= " &amp; N10) - COUNTIF(Vertices[Eigenvector Centrality], "&gt;=" &amp; N11)</f>
        <v>0</v>
      </c>
      <c r="P10" s="39">
        <f t="shared" si="7"/>
        <v>0.78838903636363633</v>
      </c>
      <c r="Q10" s="40">
        <f>COUNTIF(Vertices[PageRank], "&gt;= " &amp; P10) - COUNTIF(Vertices[PageRank], "&gt;=" &amp; P11)</f>
        <v>0</v>
      </c>
      <c r="R10" s="39">
        <f t="shared" si="8"/>
        <v>0</v>
      </c>
      <c r="S10" s="45">
        <f>COUNTIF(Vertices[Clustering Coefficient], "&gt;= " &amp; R10) - COUNTIF(Vertices[Clustering Coefficient], "&gt;=" &amp; R11)</f>
        <v>0</v>
      </c>
      <c r="T10" s="39" t="e">
        <f t="shared" ca="1" si="9"/>
        <v>#REF!</v>
      </c>
      <c r="U10" s="40" t="e">
        <f t="shared" ca="1" si="0"/>
        <v>#REF!</v>
      </c>
    </row>
    <row r="11" spans="1:24" x14ac:dyDescent="0.25">
      <c r="A11" s="127"/>
      <c r="B11" s="127"/>
      <c r="D11" s="34">
        <f t="shared" si="1"/>
        <v>0</v>
      </c>
      <c r="E11" s="3">
        <f>COUNTIF(Vertices[Degree], "&gt;= " &amp; D11) - COUNTIF(Vertices[Degree], "&gt;=" &amp; D12)</f>
        <v>0</v>
      </c>
      <c r="F11" s="41">
        <f t="shared" si="2"/>
        <v>0.32727272727272733</v>
      </c>
      <c r="G11" s="42">
        <f>COUNTIF(Vertices[In-Degree], "&gt;= " &amp; F11) - COUNTIF(Vertices[In-Degree], "&gt;=" &amp; F12)</f>
        <v>0</v>
      </c>
      <c r="H11" s="41">
        <f t="shared" si="3"/>
        <v>1</v>
      </c>
      <c r="I11" s="42">
        <f>COUNTIF(Vertices[Out-Degree], "&gt;= " &amp; H11) - COUNTIF(Vertices[Out-Degree], "&gt;=" &amp; H12)</f>
        <v>0</v>
      </c>
      <c r="J11" s="41">
        <f t="shared" si="4"/>
        <v>0</v>
      </c>
      <c r="K11" s="42">
        <f>COUNTIF(Vertices[Betweenness Centrality], "&gt;= " &amp; J11) - COUNTIF(Vertices[Betweenness Centrality], "&gt;=" &amp; J12)</f>
        <v>0</v>
      </c>
      <c r="L11" s="41">
        <f t="shared" si="5"/>
        <v>0.16363636363636366</v>
      </c>
      <c r="M11" s="42">
        <f>COUNTIF(Vertices[Closeness Centrality], "&gt;= " &amp; L11) - COUNTIF(Vertices[Closeness Centrality], "&gt;=" &amp; L12)</f>
        <v>0</v>
      </c>
      <c r="N11" s="41">
        <f t="shared" si="6"/>
        <v>0.18383836363636369</v>
      </c>
      <c r="O11" s="42">
        <f>COUNTIF(Vertices[Eigenvector Centrality], "&gt;= " &amp; N11) - COUNTIF(Vertices[Eigenvector Centrality], "&gt;=" &amp; N12)</f>
        <v>0</v>
      </c>
      <c r="P11" s="41">
        <f t="shared" si="7"/>
        <v>0.79923229090909087</v>
      </c>
      <c r="Q11" s="42">
        <f>COUNTIF(Vertices[PageRank], "&gt;= " &amp; P11) - COUNTIF(Vertices[PageRank], "&gt;=" &amp; P12)</f>
        <v>0</v>
      </c>
      <c r="R11" s="41">
        <f t="shared" si="8"/>
        <v>0</v>
      </c>
      <c r="S11" s="46">
        <f>COUNTIF(Vertices[Clustering Coefficient], "&gt;= " &amp; R11) - COUNTIF(Vertices[Clustering Coefficient], "&gt;=" &amp; R12)</f>
        <v>0</v>
      </c>
      <c r="T11" s="41" t="e">
        <f t="shared" ca="1" si="9"/>
        <v>#REF!</v>
      </c>
      <c r="U11" s="42" t="e">
        <f t="shared" ca="1" si="0"/>
        <v>#REF!</v>
      </c>
    </row>
    <row r="12" spans="1:24" x14ac:dyDescent="0.25">
      <c r="A12" s="36" t="s">
        <v>170</v>
      </c>
      <c r="B12" s="36">
        <v>0</v>
      </c>
      <c r="D12" s="34">
        <f t="shared" si="1"/>
        <v>0</v>
      </c>
      <c r="E12" s="3">
        <f>COUNTIF(Vertices[Degree], "&gt;= " &amp; D12) - COUNTIF(Vertices[Degree], "&gt;=" &amp; D13)</f>
        <v>0</v>
      </c>
      <c r="F12" s="39">
        <f t="shared" si="2"/>
        <v>0.3636363636363637</v>
      </c>
      <c r="G12" s="40">
        <f>COUNTIF(Vertices[In-Degree], "&gt;= " &amp; F12) - COUNTIF(Vertices[In-Degree], "&gt;=" &amp; F13)</f>
        <v>0</v>
      </c>
      <c r="H12" s="39">
        <f t="shared" si="3"/>
        <v>1</v>
      </c>
      <c r="I12" s="40">
        <f>COUNTIF(Vertices[Out-Degree], "&gt;= " &amp; H12) - COUNTIF(Vertices[Out-Degree], "&gt;=" &amp; H13)</f>
        <v>0</v>
      </c>
      <c r="J12" s="39">
        <f t="shared" si="4"/>
        <v>0</v>
      </c>
      <c r="K12" s="40">
        <f>COUNTIF(Vertices[Betweenness Centrality], "&gt;= " &amp; J12) - COUNTIF(Vertices[Betweenness Centrality], "&gt;=" &amp; J13)</f>
        <v>0</v>
      </c>
      <c r="L12" s="39">
        <f t="shared" si="5"/>
        <v>0.18181818181818185</v>
      </c>
      <c r="M12" s="40">
        <f>COUNTIF(Vertices[Closeness Centrality], "&gt;= " &amp; L12) - COUNTIF(Vertices[Closeness Centrality], "&gt;=" &amp; L13)</f>
        <v>0</v>
      </c>
      <c r="N12" s="39">
        <f t="shared" si="6"/>
        <v>0.19191918181818188</v>
      </c>
      <c r="O12" s="40">
        <f>COUNTIF(Vertices[Eigenvector Centrality], "&gt;= " &amp; N12) - COUNTIF(Vertices[Eigenvector Centrality], "&gt;=" &amp; N13)</f>
        <v>0</v>
      </c>
      <c r="P12" s="39">
        <f t="shared" si="7"/>
        <v>0.81007554545454541</v>
      </c>
      <c r="Q12" s="40">
        <f>COUNTIF(Vertices[PageRank], "&gt;= " &amp; P12) - COUNTIF(Vertices[PageRank], "&gt;=" &amp; P13)</f>
        <v>0</v>
      </c>
      <c r="R12" s="39">
        <f t="shared" si="8"/>
        <v>0</v>
      </c>
      <c r="S12" s="45">
        <f>COUNTIF(Vertices[Clustering Coefficient], "&gt;= " &amp; R12) - COUNTIF(Vertices[Clustering Coefficient], "&gt;=" &amp; R13)</f>
        <v>0</v>
      </c>
      <c r="T12" s="39" t="e">
        <f t="shared" ca="1" si="9"/>
        <v>#REF!</v>
      </c>
      <c r="U12" s="40" t="e">
        <f t="shared" ca="1" si="0"/>
        <v>#REF!</v>
      </c>
    </row>
    <row r="13" spans="1:24" x14ac:dyDescent="0.25">
      <c r="A13" s="36" t="s">
        <v>171</v>
      </c>
      <c r="B13" s="36">
        <v>0</v>
      </c>
      <c r="D13" s="34">
        <f t="shared" si="1"/>
        <v>0</v>
      </c>
      <c r="E13" s="3">
        <f>COUNTIF(Vertices[Degree], "&gt;= " &amp; D13) - COUNTIF(Vertices[Degree], "&gt;=" &amp; D14)</f>
        <v>0</v>
      </c>
      <c r="F13" s="41">
        <f t="shared" si="2"/>
        <v>0.40000000000000008</v>
      </c>
      <c r="G13" s="42">
        <f>COUNTIF(Vertices[In-Degree], "&gt;= " &amp; F13) - COUNTIF(Vertices[In-Degree], "&gt;=" &amp; F14)</f>
        <v>0</v>
      </c>
      <c r="H13" s="41">
        <f t="shared" si="3"/>
        <v>1</v>
      </c>
      <c r="I13" s="42">
        <f>COUNTIF(Vertices[Out-Degree], "&gt;= " &amp; H13) - COUNTIF(Vertices[Out-Degree], "&gt;=" &amp; H14)</f>
        <v>0</v>
      </c>
      <c r="J13" s="41">
        <f t="shared" si="4"/>
        <v>0</v>
      </c>
      <c r="K13" s="42">
        <f>COUNTIF(Vertices[Betweenness Centrality], "&gt;= " &amp; J13) - COUNTIF(Vertices[Betweenness Centrality], "&gt;=" &amp; J14)</f>
        <v>0</v>
      </c>
      <c r="L13" s="41">
        <f t="shared" si="5"/>
        <v>0.20000000000000004</v>
      </c>
      <c r="M13" s="42">
        <f>COUNTIF(Vertices[Closeness Centrality], "&gt;= " &amp; L13) - COUNTIF(Vertices[Closeness Centrality], "&gt;=" &amp; L14)</f>
        <v>0</v>
      </c>
      <c r="N13" s="41">
        <f t="shared" si="6"/>
        <v>0.20000000000000007</v>
      </c>
      <c r="O13" s="42">
        <f>COUNTIF(Vertices[Eigenvector Centrality], "&gt;= " &amp; N13) - COUNTIF(Vertices[Eigenvector Centrality], "&gt;=" &amp; N14)</f>
        <v>0</v>
      </c>
      <c r="P13" s="41">
        <f t="shared" si="7"/>
        <v>0.82091879999999995</v>
      </c>
      <c r="Q13" s="42">
        <f>COUNTIF(Vertices[PageRank], "&gt;= " &amp; P13) - COUNTIF(Vertices[PageRank], "&gt;=" &amp; P14)</f>
        <v>0</v>
      </c>
      <c r="R13" s="41">
        <f t="shared" si="8"/>
        <v>0</v>
      </c>
      <c r="S13" s="46">
        <f>COUNTIF(Vertices[Clustering Coefficient], "&gt;= " &amp; R13) - COUNTIF(Vertices[Clustering Coefficient], "&gt;=" &amp; R14)</f>
        <v>0</v>
      </c>
      <c r="T13" s="41" t="e">
        <f t="shared" ca="1" si="9"/>
        <v>#REF!</v>
      </c>
      <c r="U13" s="42" t="e">
        <f t="shared" ca="1" si="0"/>
        <v>#REF!</v>
      </c>
    </row>
    <row r="14" spans="1:24" x14ac:dyDescent="0.25">
      <c r="A14" s="127"/>
      <c r="B14" s="127"/>
      <c r="D14" s="34">
        <f t="shared" si="1"/>
        <v>0</v>
      </c>
      <c r="E14" s="3">
        <f>COUNTIF(Vertices[Degree], "&gt;= " &amp; D14) - COUNTIF(Vertices[Degree], "&gt;=" &amp; D15)</f>
        <v>0</v>
      </c>
      <c r="F14" s="39">
        <f t="shared" si="2"/>
        <v>0.43636363636363645</v>
      </c>
      <c r="G14" s="40">
        <f>COUNTIF(Vertices[In-Degree], "&gt;= " &amp; F14) - COUNTIF(Vertices[In-Degree], "&gt;=" &amp; F15)</f>
        <v>0</v>
      </c>
      <c r="H14" s="39">
        <f t="shared" si="3"/>
        <v>1</v>
      </c>
      <c r="I14" s="40">
        <f>COUNTIF(Vertices[Out-Degree], "&gt;= " &amp; H14) - COUNTIF(Vertices[Out-Degree], "&gt;=" &amp; H15)</f>
        <v>0</v>
      </c>
      <c r="J14" s="39">
        <f t="shared" si="4"/>
        <v>0</v>
      </c>
      <c r="K14" s="40">
        <f>COUNTIF(Vertices[Betweenness Centrality], "&gt;= " &amp; J14) - COUNTIF(Vertices[Betweenness Centrality], "&gt;=" &amp; J15)</f>
        <v>0</v>
      </c>
      <c r="L14" s="39">
        <f t="shared" si="5"/>
        <v>0.21818181818181823</v>
      </c>
      <c r="M14" s="40">
        <f>COUNTIF(Vertices[Closeness Centrality], "&gt;= " &amp; L14) - COUNTIF(Vertices[Closeness Centrality], "&gt;=" &amp; L15)</f>
        <v>0</v>
      </c>
      <c r="N14" s="39">
        <f t="shared" si="6"/>
        <v>0.20808081818181826</v>
      </c>
      <c r="O14" s="40">
        <f>COUNTIF(Vertices[Eigenvector Centrality], "&gt;= " &amp; N14) - COUNTIF(Vertices[Eigenvector Centrality], "&gt;=" &amp; N15)</f>
        <v>0</v>
      </c>
      <c r="P14" s="39">
        <f t="shared" si="7"/>
        <v>0.83176205454545449</v>
      </c>
      <c r="Q14" s="40">
        <f>COUNTIF(Vertices[PageRank], "&gt;= " &amp; P14) - COUNTIF(Vertices[PageRank], "&gt;=" &amp; P15)</f>
        <v>0</v>
      </c>
      <c r="R14" s="39">
        <f t="shared" si="8"/>
        <v>0</v>
      </c>
      <c r="S14" s="45">
        <f>COUNTIF(Vertices[Clustering Coefficient], "&gt;= " &amp; R14) - COUNTIF(Vertices[Clustering Coefficient], "&gt;=" &amp; R15)</f>
        <v>0</v>
      </c>
      <c r="T14" s="39" t="e">
        <f t="shared" ca="1" si="9"/>
        <v>#REF!</v>
      </c>
      <c r="U14" s="40" t="e">
        <f t="shared" ca="1" si="0"/>
        <v>#REF!</v>
      </c>
    </row>
    <row r="15" spans="1:24" x14ac:dyDescent="0.25">
      <c r="A15" s="36" t="s">
        <v>152</v>
      </c>
      <c r="B15" s="36">
        <v>2</v>
      </c>
      <c r="D15" s="34">
        <f t="shared" si="1"/>
        <v>0</v>
      </c>
      <c r="E15" s="3">
        <f>COUNTIF(Vertices[Degree], "&gt;= " &amp; D15) - COUNTIF(Vertices[Degree], "&gt;=" &amp; D16)</f>
        <v>0</v>
      </c>
      <c r="F15" s="41">
        <f t="shared" si="2"/>
        <v>0.47272727272727283</v>
      </c>
      <c r="G15" s="42">
        <f>COUNTIF(Vertices[In-Degree], "&gt;= " &amp; F15) - COUNTIF(Vertices[In-Degree], "&gt;=" &amp; F16)</f>
        <v>0</v>
      </c>
      <c r="H15" s="41">
        <f t="shared" si="3"/>
        <v>1</v>
      </c>
      <c r="I15" s="42">
        <f>COUNTIF(Vertices[Out-Degree], "&gt;= " &amp; H15) - COUNTIF(Vertices[Out-Degree], "&gt;=" &amp; H16)</f>
        <v>0</v>
      </c>
      <c r="J15" s="41">
        <f t="shared" si="4"/>
        <v>0</v>
      </c>
      <c r="K15" s="42">
        <f>COUNTIF(Vertices[Betweenness Centrality], "&gt;= " &amp; J15) - COUNTIF(Vertices[Betweenness Centrality], "&gt;=" &amp; J16)</f>
        <v>0</v>
      </c>
      <c r="L15" s="41">
        <f t="shared" si="5"/>
        <v>0.23636363636363641</v>
      </c>
      <c r="M15" s="42">
        <f>COUNTIF(Vertices[Closeness Centrality], "&gt;= " &amp; L15) - COUNTIF(Vertices[Closeness Centrality], "&gt;=" &amp; L16)</f>
        <v>0</v>
      </c>
      <c r="N15" s="41">
        <f t="shared" si="6"/>
        <v>0.21616163636363644</v>
      </c>
      <c r="O15" s="42">
        <f>COUNTIF(Vertices[Eigenvector Centrality], "&gt;= " &amp; N15) - COUNTIF(Vertices[Eigenvector Centrality], "&gt;=" &amp; N16)</f>
        <v>0</v>
      </c>
      <c r="P15" s="41">
        <f t="shared" si="7"/>
        <v>0.84260530909090903</v>
      </c>
      <c r="Q15" s="42">
        <f>COUNTIF(Vertices[PageRank], "&gt;= " &amp; P15) - COUNTIF(Vertices[PageRank], "&gt;=" &amp; P16)</f>
        <v>0</v>
      </c>
      <c r="R15" s="41">
        <f t="shared" si="8"/>
        <v>0</v>
      </c>
      <c r="S15" s="46">
        <f>COUNTIF(Vertices[Clustering Coefficient], "&gt;= " &amp; R15) - COUNTIF(Vertices[Clustering Coefficient], "&gt;=" &amp; R16)</f>
        <v>0</v>
      </c>
      <c r="T15" s="41" t="e">
        <f t="shared" ca="1" si="9"/>
        <v>#REF!</v>
      </c>
      <c r="U15" s="42" t="e">
        <f t="shared" ca="1" si="0"/>
        <v>#REF!</v>
      </c>
    </row>
    <row r="16" spans="1:24" x14ac:dyDescent="0.25">
      <c r="A16" s="36" t="s">
        <v>153</v>
      </c>
      <c r="B16" s="36">
        <v>1</v>
      </c>
      <c r="D16" s="34">
        <f t="shared" si="1"/>
        <v>0</v>
      </c>
      <c r="E16" s="3">
        <f>COUNTIF(Vertices[Degree], "&gt;= " &amp; D16) - COUNTIF(Vertices[Degree], "&gt;=" &amp; D17)</f>
        <v>0</v>
      </c>
      <c r="F16" s="39">
        <f t="shared" si="2"/>
        <v>0.50909090909090915</v>
      </c>
      <c r="G16" s="40">
        <f>COUNTIF(Vertices[In-Degree], "&gt;= " &amp; F16) - COUNTIF(Vertices[In-Degree], "&gt;=" &amp; F17)</f>
        <v>0</v>
      </c>
      <c r="H16" s="39">
        <f t="shared" si="3"/>
        <v>1</v>
      </c>
      <c r="I16" s="40">
        <f>COUNTIF(Vertices[Out-Degree], "&gt;= " &amp; H16) - COUNTIF(Vertices[Out-Degree], "&gt;=" &amp; H17)</f>
        <v>0</v>
      </c>
      <c r="J16" s="39">
        <f t="shared" si="4"/>
        <v>0</v>
      </c>
      <c r="K16" s="40">
        <f>COUNTIF(Vertices[Betweenness Centrality], "&gt;= " &amp; J16) - COUNTIF(Vertices[Betweenness Centrality], "&gt;=" &amp; J17)</f>
        <v>0</v>
      </c>
      <c r="L16" s="39">
        <f t="shared" si="5"/>
        <v>0.25454545454545457</v>
      </c>
      <c r="M16" s="40">
        <f>COUNTIF(Vertices[Closeness Centrality], "&gt;= " &amp; L16) - COUNTIF(Vertices[Closeness Centrality], "&gt;=" &amp; L17)</f>
        <v>0</v>
      </c>
      <c r="N16" s="39">
        <f t="shared" si="6"/>
        <v>0.22424245454545463</v>
      </c>
      <c r="O16" s="40">
        <f>COUNTIF(Vertices[Eigenvector Centrality], "&gt;= " &amp; N16) - COUNTIF(Vertices[Eigenvector Centrality], "&gt;=" &amp; N17)</f>
        <v>0</v>
      </c>
      <c r="P16" s="39">
        <f t="shared" si="7"/>
        <v>0.85344856363636357</v>
      </c>
      <c r="Q16" s="40">
        <f>COUNTIF(Vertices[PageRank], "&gt;= " &amp; P16) - COUNTIF(Vertices[PageRank], "&gt;=" &amp; P17)</f>
        <v>0</v>
      </c>
      <c r="R16" s="39">
        <f t="shared" si="8"/>
        <v>0</v>
      </c>
      <c r="S16" s="45">
        <f>COUNTIF(Vertices[Clustering Coefficient], "&gt;= " &amp; R16) - COUNTIF(Vertices[Clustering Coefficient], "&gt;=" &amp; R17)</f>
        <v>0</v>
      </c>
      <c r="T16" s="39" t="e">
        <f t="shared" ca="1" si="9"/>
        <v>#REF!</v>
      </c>
      <c r="U16" s="40" t="e">
        <f t="shared" ca="1" si="0"/>
        <v>#REF!</v>
      </c>
    </row>
    <row r="17" spans="1:21" x14ac:dyDescent="0.25">
      <c r="A17" s="36" t="s">
        <v>154</v>
      </c>
      <c r="B17" s="36">
        <v>2</v>
      </c>
      <c r="D17" s="34">
        <f t="shared" si="1"/>
        <v>0</v>
      </c>
      <c r="E17" s="3">
        <f>COUNTIF(Vertices[Degree], "&gt;= " &amp; D17) - COUNTIF(Vertices[Degree], "&gt;=" &amp; D18)</f>
        <v>0</v>
      </c>
      <c r="F17" s="41">
        <f t="shared" si="2"/>
        <v>0.54545454545454553</v>
      </c>
      <c r="G17" s="42">
        <f>COUNTIF(Vertices[In-Degree], "&gt;= " &amp; F17) - COUNTIF(Vertices[In-Degree], "&gt;=" &amp; F18)</f>
        <v>0</v>
      </c>
      <c r="H17" s="41">
        <f t="shared" si="3"/>
        <v>1</v>
      </c>
      <c r="I17" s="42">
        <f>COUNTIF(Vertices[Out-Degree], "&gt;= " &amp; H17) - COUNTIF(Vertices[Out-Degree], "&gt;=" &amp; H18)</f>
        <v>0</v>
      </c>
      <c r="J17" s="41">
        <f t="shared" si="4"/>
        <v>0</v>
      </c>
      <c r="K17" s="42">
        <f>COUNTIF(Vertices[Betweenness Centrality], "&gt;= " &amp; J17) - COUNTIF(Vertices[Betweenness Centrality], "&gt;=" &amp; J18)</f>
        <v>0</v>
      </c>
      <c r="L17" s="41">
        <f t="shared" si="5"/>
        <v>0.27272727272727276</v>
      </c>
      <c r="M17" s="42">
        <f>COUNTIF(Vertices[Closeness Centrality], "&gt;= " &amp; L17) - COUNTIF(Vertices[Closeness Centrality], "&gt;=" &amp; L18)</f>
        <v>0</v>
      </c>
      <c r="N17" s="41">
        <f t="shared" si="6"/>
        <v>0.23232327272727282</v>
      </c>
      <c r="O17" s="42">
        <f>COUNTIF(Vertices[Eigenvector Centrality], "&gt;= " &amp; N17) - COUNTIF(Vertices[Eigenvector Centrality], "&gt;=" &amp; N18)</f>
        <v>0</v>
      </c>
      <c r="P17" s="41">
        <f t="shared" si="7"/>
        <v>0.86429181818181811</v>
      </c>
      <c r="Q17" s="42">
        <f>COUNTIF(Vertices[PageRank], "&gt;= " &amp; P17) - COUNTIF(Vertices[PageRank], "&gt;=" &amp; P18)</f>
        <v>0</v>
      </c>
      <c r="R17" s="41">
        <f t="shared" si="8"/>
        <v>0</v>
      </c>
      <c r="S17" s="46">
        <f>COUNTIF(Vertices[Clustering Coefficient], "&gt;= " &amp; R17) - COUNTIF(Vertices[Clustering Coefficient], "&gt;=" &amp; R18)</f>
        <v>0</v>
      </c>
      <c r="T17" s="41" t="e">
        <f t="shared" ca="1" si="9"/>
        <v>#REF!</v>
      </c>
      <c r="U17" s="42" t="e">
        <f t="shared" ca="1" si="0"/>
        <v>#REF!</v>
      </c>
    </row>
    <row r="18" spans="1:21" x14ac:dyDescent="0.25">
      <c r="A18" s="36" t="s">
        <v>155</v>
      </c>
      <c r="B18" s="36">
        <v>2</v>
      </c>
      <c r="D18" s="34">
        <f t="shared" si="1"/>
        <v>0</v>
      </c>
      <c r="E18" s="3">
        <f>COUNTIF(Vertices[Degree], "&gt;= " &amp; D18) - COUNTIF(Vertices[Degree], "&gt;=" &amp; D19)</f>
        <v>0</v>
      </c>
      <c r="F18" s="39">
        <f t="shared" si="2"/>
        <v>0.5818181818181819</v>
      </c>
      <c r="G18" s="40">
        <f>COUNTIF(Vertices[In-Degree], "&gt;= " &amp; F18) - COUNTIF(Vertices[In-Degree], "&gt;=" &amp; F19)</f>
        <v>0</v>
      </c>
      <c r="H18" s="39">
        <f t="shared" si="3"/>
        <v>1</v>
      </c>
      <c r="I18" s="40">
        <f>COUNTIF(Vertices[Out-Degree], "&gt;= " &amp; H18) - COUNTIF(Vertices[Out-Degree], "&gt;=" &amp; H19)</f>
        <v>0</v>
      </c>
      <c r="J18" s="39">
        <f t="shared" si="4"/>
        <v>0</v>
      </c>
      <c r="K18" s="40">
        <f>COUNTIF(Vertices[Betweenness Centrality], "&gt;= " &amp; J18) - COUNTIF(Vertices[Betweenness Centrality], "&gt;=" &amp; J19)</f>
        <v>0</v>
      </c>
      <c r="L18" s="39">
        <f t="shared" si="5"/>
        <v>0.29090909090909095</v>
      </c>
      <c r="M18" s="40">
        <f>COUNTIF(Vertices[Closeness Centrality], "&gt;= " &amp; L18) - COUNTIF(Vertices[Closeness Centrality], "&gt;=" &amp; L19)</f>
        <v>0</v>
      </c>
      <c r="N18" s="39">
        <f t="shared" si="6"/>
        <v>0.24040409090909101</v>
      </c>
      <c r="O18" s="40">
        <f>COUNTIF(Vertices[Eigenvector Centrality], "&gt;= " &amp; N18) - COUNTIF(Vertices[Eigenvector Centrality], "&gt;=" &amp; N19)</f>
        <v>0</v>
      </c>
      <c r="P18" s="39">
        <f t="shared" si="7"/>
        <v>0.87513507272727264</v>
      </c>
      <c r="Q18" s="40">
        <f>COUNTIF(Vertices[PageRank], "&gt;= " &amp; P18) - COUNTIF(Vertices[PageRank], "&gt;=" &amp; P19)</f>
        <v>0</v>
      </c>
      <c r="R18" s="39">
        <f t="shared" si="8"/>
        <v>0</v>
      </c>
      <c r="S18" s="45">
        <f>COUNTIF(Vertices[Clustering Coefficient], "&gt;= " &amp; R18) - COUNTIF(Vertices[Clustering Coefficient], "&gt;=" &amp; R19)</f>
        <v>0</v>
      </c>
      <c r="T18" s="39" t="e">
        <f t="shared" ca="1" si="9"/>
        <v>#REF!</v>
      </c>
      <c r="U18" s="40" t="e">
        <f t="shared" ca="1" si="0"/>
        <v>#REF!</v>
      </c>
    </row>
    <row r="19" spans="1:21" x14ac:dyDescent="0.25">
      <c r="A19" s="127"/>
      <c r="B19" s="127"/>
      <c r="D19" s="34">
        <f t="shared" si="1"/>
        <v>0</v>
      </c>
      <c r="E19" s="3">
        <f>COUNTIF(Vertices[Degree], "&gt;= " &amp; D19) - COUNTIF(Vertices[Degree], "&gt;=" &amp; D20)</f>
        <v>0</v>
      </c>
      <c r="F19" s="41">
        <f t="shared" si="2"/>
        <v>0.61818181818181828</v>
      </c>
      <c r="G19" s="42">
        <f>COUNTIF(Vertices[In-Degree], "&gt;= " &amp; F19) - COUNTIF(Vertices[In-Degree], "&gt;=" &amp; F20)</f>
        <v>0</v>
      </c>
      <c r="H19" s="41">
        <f t="shared" si="3"/>
        <v>1</v>
      </c>
      <c r="I19" s="42">
        <f>COUNTIF(Vertices[Out-Degree], "&gt;= " &amp; H19) - COUNTIF(Vertices[Out-Degree], "&gt;=" &amp; H20)</f>
        <v>0</v>
      </c>
      <c r="J19" s="41">
        <f t="shared" si="4"/>
        <v>0</v>
      </c>
      <c r="K19" s="42">
        <f>COUNTIF(Vertices[Betweenness Centrality], "&gt;= " &amp; J19) - COUNTIF(Vertices[Betweenness Centrality], "&gt;=" &amp; J20)</f>
        <v>0</v>
      </c>
      <c r="L19" s="41">
        <f t="shared" si="5"/>
        <v>0.30909090909090914</v>
      </c>
      <c r="M19" s="42">
        <f>COUNTIF(Vertices[Closeness Centrality], "&gt;= " &amp; L19) - COUNTIF(Vertices[Closeness Centrality], "&gt;=" &amp; L20)</f>
        <v>0</v>
      </c>
      <c r="N19" s="41">
        <f t="shared" si="6"/>
        <v>0.2484849090909092</v>
      </c>
      <c r="O19" s="42">
        <f>COUNTIF(Vertices[Eigenvector Centrality], "&gt;= " &amp; N19) - COUNTIF(Vertices[Eigenvector Centrality], "&gt;=" &amp; N20)</f>
        <v>0</v>
      </c>
      <c r="P19" s="41">
        <f t="shared" si="7"/>
        <v>0.88597832727272718</v>
      </c>
      <c r="Q19" s="42">
        <f>COUNTIF(Vertices[PageRank], "&gt;= " &amp; P19) - COUNTIF(Vertices[PageRank], "&gt;=" &amp; P20)</f>
        <v>0</v>
      </c>
      <c r="R19" s="41">
        <f t="shared" si="8"/>
        <v>0</v>
      </c>
      <c r="S19" s="46">
        <f>COUNTIF(Vertices[Clustering Coefficient], "&gt;= " &amp; R19) - COUNTIF(Vertices[Clustering Coefficient], "&gt;=" &amp; R20)</f>
        <v>0</v>
      </c>
      <c r="T19" s="41" t="e">
        <f t="shared" ca="1" si="9"/>
        <v>#REF!</v>
      </c>
      <c r="U19" s="42" t="e">
        <f t="shared" ca="1" si="0"/>
        <v>#REF!</v>
      </c>
    </row>
    <row r="20" spans="1:21" x14ac:dyDescent="0.25">
      <c r="A20" s="36" t="s">
        <v>156</v>
      </c>
      <c r="B20" s="36">
        <v>1</v>
      </c>
      <c r="D20" s="34">
        <f t="shared" si="1"/>
        <v>0</v>
      </c>
      <c r="E20" s="3">
        <f>COUNTIF(Vertices[Degree], "&gt;= " &amp; D20) - COUNTIF(Vertices[Degree], "&gt;=" &amp; D21)</f>
        <v>0</v>
      </c>
      <c r="F20" s="39">
        <f t="shared" si="2"/>
        <v>0.65454545454545465</v>
      </c>
      <c r="G20" s="40">
        <f>COUNTIF(Vertices[In-Degree], "&gt;= " &amp; F20) - COUNTIF(Vertices[In-Degree], "&gt;=" &amp; F21)</f>
        <v>0</v>
      </c>
      <c r="H20" s="39">
        <f t="shared" si="3"/>
        <v>1</v>
      </c>
      <c r="I20" s="40">
        <f>COUNTIF(Vertices[Out-Degree], "&gt;= " &amp; H20) - COUNTIF(Vertices[Out-Degree], "&gt;=" &amp; H21)</f>
        <v>0</v>
      </c>
      <c r="J20" s="39">
        <f t="shared" si="4"/>
        <v>0</v>
      </c>
      <c r="K20" s="40">
        <f>COUNTIF(Vertices[Betweenness Centrality], "&gt;= " &amp; J20) - COUNTIF(Vertices[Betweenness Centrality], "&gt;=" &amp; J21)</f>
        <v>0</v>
      </c>
      <c r="L20" s="39">
        <f t="shared" si="5"/>
        <v>0.32727272727272733</v>
      </c>
      <c r="M20" s="40">
        <f>COUNTIF(Vertices[Closeness Centrality], "&gt;= " &amp; L20) - COUNTIF(Vertices[Closeness Centrality], "&gt;=" &amp; L21)</f>
        <v>0</v>
      </c>
      <c r="N20" s="39">
        <f t="shared" si="6"/>
        <v>0.25656572727272736</v>
      </c>
      <c r="O20" s="40">
        <f>COUNTIF(Vertices[Eigenvector Centrality], "&gt;= " &amp; N20) - COUNTIF(Vertices[Eigenvector Centrality], "&gt;=" &amp; N21)</f>
        <v>0</v>
      </c>
      <c r="P20" s="39">
        <f t="shared" si="7"/>
        <v>0.89682158181818172</v>
      </c>
      <c r="Q20" s="40">
        <f>COUNTIF(Vertices[PageRank], "&gt;= " &amp; P20) - COUNTIF(Vertices[PageRank], "&gt;=" &amp; P21)</f>
        <v>0</v>
      </c>
      <c r="R20" s="39">
        <f t="shared" si="8"/>
        <v>0</v>
      </c>
      <c r="S20" s="45">
        <f>COUNTIF(Vertices[Clustering Coefficient], "&gt;= " &amp; R20) - COUNTIF(Vertices[Clustering Coefficient], "&gt;=" &amp; R21)</f>
        <v>0</v>
      </c>
      <c r="T20" s="39" t="e">
        <f t="shared" ca="1" si="9"/>
        <v>#REF!</v>
      </c>
      <c r="U20" s="40" t="e">
        <f t="shared" ca="1" si="0"/>
        <v>#REF!</v>
      </c>
    </row>
    <row r="21" spans="1:21" x14ac:dyDescent="0.25">
      <c r="A21" s="36" t="s">
        <v>157</v>
      </c>
      <c r="B21" s="36">
        <v>0.4</v>
      </c>
      <c r="D21" s="34">
        <f t="shared" si="1"/>
        <v>0</v>
      </c>
      <c r="E21" s="3">
        <f>COUNTIF(Vertices[Degree], "&gt;= " &amp; D21) - COUNTIF(Vertices[Degree], "&gt;=" &amp; D22)</f>
        <v>0</v>
      </c>
      <c r="F21" s="41">
        <f t="shared" si="2"/>
        <v>0.69090909090909103</v>
      </c>
      <c r="G21" s="42">
        <f>COUNTIF(Vertices[In-Degree], "&gt;= " &amp; F21) - COUNTIF(Vertices[In-Degree], "&gt;=" &amp; F22)</f>
        <v>0</v>
      </c>
      <c r="H21" s="41">
        <f t="shared" si="3"/>
        <v>1</v>
      </c>
      <c r="I21" s="42">
        <f>COUNTIF(Vertices[Out-Degree], "&gt;= " &amp; H21) - COUNTIF(Vertices[Out-Degree], "&gt;=" &amp; H22)</f>
        <v>0</v>
      </c>
      <c r="J21" s="41">
        <f t="shared" si="4"/>
        <v>0</v>
      </c>
      <c r="K21" s="42">
        <f>COUNTIF(Vertices[Betweenness Centrality], "&gt;= " &amp; J21) - COUNTIF(Vertices[Betweenness Centrality], "&gt;=" &amp; J22)</f>
        <v>0</v>
      </c>
      <c r="L21" s="41">
        <f t="shared" si="5"/>
        <v>0.34545454545454551</v>
      </c>
      <c r="M21" s="42">
        <f>COUNTIF(Vertices[Closeness Centrality], "&gt;= " &amp; L21) - COUNTIF(Vertices[Closeness Centrality], "&gt;=" &amp; L22)</f>
        <v>0</v>
      </c>
      <c r="N21" s="41">
        <f t="shared" si="6"/>
        <v>0.26464654545454552</v>
      </c>
      <c r="O21" s="42">
        <f>COUNTIF(Vertices[Eigenvector Centrality], "&gt;= " &amp; N21) - COUNTIF(Vertices[Eigenvector Centrality], "&gt;=" &amp; N22)</f>
        <v>0</v>
      </c>
      <c r="P21" s="41">
        <f t="shared" si="7"/>
        <v>0.90766483636363626</v>
      </c>
      <c r="Q21" s="42">
        <f>COUNTIF(Vertices[PageRank], "&gt;= " &amp; P21) - COUNTIF(Vertices[PageRank], "&gt;=" &amp; P22)</f>
        <v>0</v>
      </c>
      <c r="R21" s="41">
        <f t="shared" si="8"/>
        <v>0</v>
      </c>
      <c r="S21" s="46">
        <f>COUNTIF(Vertices[Clustering Coefficient], "&gt;= " &amp; R21) - COUNTIF(Vertices[Clustering Coefficient], "&gt;=" &amp; R22)</f>
        <v>0</v>
      </c>
      <c r="T21" s="41" t="e">
        <f t="shared" ca="1" si="9"/>
        <v>#REF!</v>
      </c>
      <c r="U21" s="42" t="e">
        <f t="shared" ca="1" si="0"/>
        <v>#REF!</v>
      </c>
    </row>
    <row r="22" spans="1:21" x14ac:dyDescent="0.25">
      <c r="A22" s="127"/>
      <c r="B22" s="127"/>
      <c r="D22" s="34">
        <f t="shared" si="1"/>
        <v>0</v>
      </c>
      <c r="E22" s="3">
        <f>COUNTIF(Vertices[Degree], "&gt;= " &amp; D22) - COUNTIF(Vertices[Degree], "&gt;=" &amp; D23)</f>
        <v>0</v>
      </c>
      <c r="F22" s="39">
        <f t="shared" si="2"/>
        <v>0.7272727272727274</v>
      </c>
      <c r="G22" s="40">
        <f>COUNTIF(Vertices[In-Degree], "&gt;= " &amp; F22) - COUNTIF(Vertices[In-Degree], "&gt;=" &amp; F23)</f>
        <v>0</v>
      </c>
      <c r="H22" s="39">
        <f t="shared" si="3"/>
        <v>1</v>
      </c>
      <c r="I22" s="40">
        <f>COUNTIF(Vertices[Out-Degree], "&gt;= " &amp; H22) - COUNTIF(Vertices[Out-Degree], "&gt;=" &amp; H23)</f>
        <v>0</v>
      </c>
      <c r="J22" s="39">
        <f t="shared" si="4"/>
        <v>0</v>
      </c>
      <c r="K22" s="40">
        <f>COUNTIF(Vertices[Betweenness Centrality], "&gt;= " &amp; J22) - COUNTIF(Vertices[Betweenness Centrality], "&gt;=" &amp; J23)</f>
        <v>0</v>
      </c>
      <c r="L22" s="39">
        <f t="shared" si="5"/>
        <v>0.3636363636363637</v>
      </c>
      <c r="M22" s="40">
        <f>COUNTIF(Vertices[Closeness Centrality], "&gt;= " &amp; L22) - COUNTIF(Vertices[Closeness Centrality], "&gt;=" &amp; L23)</f>
        <v>0</v>
      </c>
      <c r="N22" s="39">
        <f t="shared" si="6"/>
        <v>0.27272736363636368</v>
      </c>
      <c r="O22" s="40">
        <f>COUNTIF(Vertices[Eigenvector Centrality], "&gt;= " &amp; N22) - COUNTIF(Vertices[Eigenvector Centrality], "&gt;=" &amp; N23)</f>
        <v>0</v>
      </c>
      <c r="P22" s="39">
        <f t="shared" si="7"/>
        <v>0.9185080909090908</v>
      </c>
      <c r="Q22" s="40">
        <f>COUNTIF(Vertices[PageRank], "&gt;= " &amp; P22) - COUNTIF(Vertices[PageRank], "&gt;=" &amp; P23)</f>
        <v>0</v>
      </c>
      <c r="R22" s="39">
        <f t="shared" si="8"/>
        <v>0</v>
      </c>
      <c r="S22" s="45">
        <f>COUNTIF(Vertices[Clustering Coefficient], "&gt;= " &amp; R22) - COUNTIF(Vertices[Clustering Coefficient], "&gt;=" &amp; R23)</f>
        <v>0</v>
      </c>
      <c r="T22" s="39" t="e">
        <f t="shared" ca="1" si="9"/>
        <v>#REF!</v>
      </c>
      <c r="U22" s="40" t="e">
        <f t="shared" ca="1" si="0"/>
        <v>#REF!</v>
      </c>
    </row>
    <row r="23" spans="1:21" x14ac:dyDescent="0.25">
      <c r="A23" s="36" t="s">
        <v>158</v>
      </c>
      <c r="B23" s="36">
        <v>0.16666666666666666</v>
      </c>
      <c r="D23" s="34">
        <f t="shared" si="1"/>
        <v>0</v>
      </c>
      <c r="E23" s="3">
        <f>COUNTIF(Vertices[Degree], "&gt;= " &amp; D23) - COUNTIF(Vertices[Degree], "&gt;=" &amp; D24)</f>
        <v>0</v>
      </c>
      <c r="F23" s="41">
        <f t="shared" si="2"/>
        <v>0.76363636363636378</v>
      </c>
      <c r="G23" s="42">
        <f>COUNTIF(Vertices[In-Degree], "&gt;= " &amp; F23) - COUNTIF(Vertices[In-Degree], "&gt;=" &amp; F24)</f>
        <v>0</v>
      </c>
      <c r="H23" s="41">
        <f t="shared" si="3"/>
        <v>1</v>
      </c>
      <c r="I23" s="42">
        <f>COUNTIF(Vertices[Out-Degree], "&gt;= " &amp; H23) - COUNTIF(Vertices[Out-Degree], "&gt;=" &amp; H24)</f>
        <v>0</v>
      </c>
      <c r="J23" s="41">
        <f t="shared" si="4"/>
        <v>0</v>
      </c>
      <c r="K23" s="42">
        <f>COUNTIF(Vertices[Betweenness Centrality], "&gt;= " &amp; J23) - COUNTIF(Vertices[Betweenness Centrality], "&gt;=" &amp; J24)</f>
        <v>0</v>
      </c>
      <c r="L23" s="41">
        <f t="shared" si="5"/>
        <v>0.38181818181818189</v>
      </c>
      <c r="M23" s="42">
        <f>COUNTIF(Vertices[Closeness Centrality], "&gt;= " &amp; L23) - COUNTIF(Vertices[Closeness Centrality], "&gt;=" &amp; L24)</f>
        <v>0</v>
      </c>
      <c r="N23" s="41">
        <f t="shared" si="6"/>
        <v>0.28080818181818185</v>
      </c>
      <c r="O23" s="42">
        <f>COUNTIF(Vertices[Eigenvector Centrality], "&gt;= " &amp; N23) - COUNTIF(Vertices[Eigenvector Centrality], "&gt;=" &amp; N24)</f>
        <v>0</v>
      </c>
      <c r="P23" s="41">
        <f t="shared" si="7"/>
        <v>0.92935134545454534</v>
      </c>
      <c r="Q23" s="42">
        <f>COUNTIF(Vertices[PageRank], "&gt;= " &amp; P23) - COUNTIF(Vertices[PageRank], "&gt;=" &amp; P24)</f>
        <v>0</v>
      </c>
      <c r="R23" s="41">
        <f t="shared" si="8"/>
        <v>0</v>
      </c>
      <c r="S23" s="46">
        <f>COUNTIF(Vertices[Clustering Coefficient], "&gt;= " &amp; R23) - COUNTIF(Vertices[Clustering Coefficient], "&gt;=" &amp; R24)</f>
        <v>0</v>
      </c>
      <c r="T23" s="41" t="e">
        <f t="shared" ca="1" si="9"/>
        <v>#REF!</v>
      </c>
      <c r="U23" s="42" t="e">
        <f t="shared" ca="1" si="0"/>
        <v>#REF!</v>
      </c>
    </row>
    <row r="24" spans="1:21" x14ac:dyDescent="0.25">
      <c r="A24" s="36" t="s">
        <v>327</v>
      </c>
      <c r="B24" s="36">
        <v>0.38888899999999998</v>
      </c>
      <c r="D24" s="34">
        <f t="shared" si="1"/>
        <v>0</v>
      </c>
      <c r="E24" s="3">
        <f>COUNTIF(Vertices[Degree], "&gt;= " &amp; D24) - COUNTIF(Vertices[Degree], "&gt;=" &amp; D25)</f>
        <v>0</v>
      </c>
      <c r="F24" s="39">
        <f t="shared" si="2"/>
        <v>0.80000000000000016</v>
      </c>
      <c r="G24" s="40">
        <f>COUNTIF(Vertices[In-Degree], "&gt;= " &amp; F24) - COUNTIF(Vertices[In-Degree], "&gt;=" &amp; F25)</f>
        <v>0</v>
      </c>
      <c r="H24" s="39">
        <f t="shared" si="3"/>
        <v>1</v>
      </c>
      <c r="I24" s="40">
        <f>COUNTIF(Vertices[Out-Degree], "&gt;= " &amp; H24) - COUNTIF(Vertices[Out-Degree], "&gt;=" &amp; H25)</f>
        <v>0</v>
      </c>
      <c r="J24" s="39">
        <f t="shared" si="4"/>
        <v>0</v>
      </c>
      <c r="K24" s="40">
        <f>COUNTIF(Vertices[Betweenness Centrality], "&gt;= " &amp; J24) - COUNTIF(Vertices[Betweenness Centrality], "&gt;=" &amp; J25)</f>
        <v>0</v>
      </c>
      <c r="L24" s="39">
        <f t="shared" si="5"/>
        <v>0.40000000000000008</v>
      </c>
      <c r="M24" s="40">
        <f>COUNTIF(Vertices[Closeness Centrality], "&gt;= " &amp; L24) - COUNTIF(Vertices[Closeness Centrality], "&gt;=" &amp; L25)</f>
        <v>0</v>
      </c>
      <c r="N24" s="39">
        <f t="shared" si="6"/>
        <v>0.28888900000000001</v>
      </c>
      <c r="O24" s="40">
        <f>COUNTIF(Vertices[Eigenvector Centrality], "&gt;= " &amp; N24) - COUNTIF(Vertices[Eigenvector Centrality], "&gt;=" &amp; N25)</f>
        <v>0</v>
      </c>
      <c r="P24" s="39">
        <f t="shared" si="7"/>
        <v>0.94019459999999988</v>
      </c>
      <c r="Q24" s="40">
        <f>COUNTIF(Vertices[PageRank], "&gt;= " &amp; P24) - COUNTIF(Vertices[PageRank], "&gt;=" &amp; P25)</f>
        <v>0</v>
      </c>
      <c r="R24" s="39">
        <f t="shared" si="8"/>
        <v>0</v>
      </c>
      <c r="S24" s="45">
        <f>COUNTIF(Vertices[Clustering Coefficient], "&gt;= " &amp; R24) - COUNTIF(Vertices[Clustering Coefficient], "&gt;=" &amp; R25)</f>
        <v>0</v>
      </c>
      <c r="T24" s="39" t="e">
        <f t="shared" ca="1" si="9"/>
        <v>#REF!</v>
      </c>
      <c r="U24" s="40" t="e">
        <f t="shared" ca="1" si="0"/>
        <v>#REF!</v>
      </c>
    </row>
    <row r="25" spans="1:21" x14ac:dyDescent="0.25">
      <c r="A25" s="127"/>
      <c r="B25" s="127"/>
      <c r="D25" s="34">
        <f t="shared" si="1"/>
        <v>0</v>
      </c>
      <c r="E25" s="3">
        <f>COUNTIF(Vertices[Degree], "&gt;= " &amp; D25) - COUNTIF(Vertices[Degree], "&gt;=" &amp; D26)</f>
        <v>0</v>
      </c>
      <c r="F25" s="41">
        <f t="shared" si="2"/>
        <v>0.83636363636363653</v>
      </c>
      <c r="G25" s="42">
        <f>COUNTIF(Vertices[In-Degree], "&gt;= " &amp; F25) - COUNTIF(Vertices[In-Degree], "&gt;=" &amp; F26)</f>
        <v>0</v>
      </c>
      <c r="H25" s="41">
        <f t="shared" si="3"/>
        <v>1</v>
      </c>
      <c r="I25" s="42">
        <f>COUNTIF(Vertices[Out-Degree], "&gt;= " &amp; H25) - COUNTIF(Vertices[Out-Degree], "&gt;=" &amp; H26)</f>
        <v>0</v>
      </c>
      <c r="J25" s="41">
        <f t="shared" si="4"/>
        <v>0</v>
      </c>
      <c r="K25" s="42">
        <f>COUNTIF(Vertices[Betweenness Centrality], "&gt;= " &amp; J25) - COUNTIF(Vertices[Betweenness Centrality], "&gt;=" &amp; J26)</f>
        <v>0</v>
      </c>
      <c r="L25" s="41">
        <f t="shared" si="5"/>
        <v>0.41818181818181827</v>
      </c>
      <c r="M25" s="42">
        <f>COUNTIF(Vertices[Closeness Centrality], "&gt;= " &amp; L25) - COUNTIF(Vertices[Closeness Centrality], "&gt;=" &amp; L26)</f>
        <v>0</v>
      </c>
      <c r="N25" s="41">
        <f t="shared" si="6"/>
        <v>0.29696981818181817</v>
      </c>
      <c r="O25" s="42">
        <f>COUNTIF(Vertices[Eigenvector Centrality], "&gt;= " &amp; N25) - COUNTIF(Vertices[Eigenvector Centrality], "&gt;=" &amp; N26)</f>
        <v>0</v>
      </c>
      <c r="P25" s="41">
        <f t="shared" si="7"/>
        <v>0.95103785454545442</v>
      </c>
      <c r="Q25" s="42">
        <f>COUNTIF(Vertices[PageRank], "&gt;= " &amp; P25) - COUNTIF(Vertices[PageRank], "&gt;=" &amp; P26)</f>
        <v>0</v>
      </c>
      <c r="R25" s="41">
        <f t="shared" si="8"/>
        <v>0</v>
      </c>
      <c r="S25" s="46">
        <f>COUNTIF(Vertices[Clustering Coefficient], "&gt;= " &amp; R25) - COUNTIF(Vertices[Clustering Coefficient], "&gt;=" &amp; R26)</f>
        <v>0</v>
      </c>
      <c r="T25" s="41" t="e">
        <f t="shared" ca="1" si="9"/>
        <v>#REF!</v>
      </c>
      <c r="U25" s="42" t="e">
        <f t="shared" ca="1" si="0"/>
        <v>#REF!</v>
      </c>
    </row>
    <row r="26" spans="1:21" x14ac:dyDescent="0.25">
      <c r="A26" s="36" t="s">
        <v>328</v>
      </c>
      <c r="B26" s="36" t="s">
        <v>329</v>
      </c>
      <c r="D26" s="34">
        <f t="shared" si="1"/>
        <v>0</v>
      </c>
      <c r="E26" s="3">
        <f>COUNTIF(Vertices[Degree], "&gt;= " &amp; D26) - COUNTIF(Vertices[Degree], "&gt;=" &amp; D28)</f>
        <v>0</v>
      </c>
      <c r="F26" s="39">
        <f t="shared" si="2"/>
        <v>0.87272727272727291</v>
      </c>
      <c r="G26" s="40">
        <f>COUNTIF(Vertices[In-Degree], "&gt;= " &amp; F26) - COUNTIF(Vertices[In-Degree], "&gt;=" &amp; F28)</f>
        <v>0</v>
      </c>
      <c r="H26" s="39">
        <f t="shared" si="3"/>
        <v>1</v>
      </c>
      <c r="I26" s="40">
        <f>COUNTIF(Vertices[Out-Degree], "&gt;= " &amp; H26) - COUNTIF(Vertices[Out-Degree], "&gt;=" &amp; H28)</f>
        <v>0</v>
      </c>
      <c r="J26" s="39">
        <f t="shared" si="4"/>
        <v>0</v>
      </c>
      <c r="K26" s="40">
        <f>COUNTIF(Vertices[Betweenness Centrality], "&gt;= " &amp; J26) - COUNTIF(Vertices[Betweenness Centrality], "&gt;=" &amp; J28)</f>
        <v>0</v>
      </c>
      <c r="L26" s="39">
        <f t="shared" si="5"/>
        <v>0.43636363636363645</v>
      </c>
      <c r="M26" s="40">
        <f>COUNTIF(Vertices[Closeness Centrality], "&gt;= " &amp; L26) - COUNTIF(Vertices[Closeness Centrality], "&gt;=" &amp; L28)</f>
        <v>0</v>
      </c>
      <c r="N26" s="39">
        <f t="shared" si="6"/>
        <v>0.30505063636363633</v>
      </c>
      <c r="O26" s="40">
        <f>COUNTIF(Vertices[Eigenvector Centrality], "&gt;= " &amp; N26) - COUNTIF(Vertices[Eigenvector Centrality], "&gt;=" &amp; N28)</f>
        <v>0</v>
      </c>
      <c r="P26" s="39">
        <f t="shared" si="7"/>
        <v>0.96188110909090896</v>
      </c>
      <c r="Q26" s="40">
        <f>COUNTIF(Vertices[PageRank], "&gt;= " &amp; P26) - COUNTIF(Vertices[PageRank], "&gt;=" &amp; P28)</f>
        <v>0</v>
      </c>
      <c r="R26" s="39">
        <f t="shared" si="8"/>
        <v>0</v>
      </c>
      <c r="S26" s="45">
        <f>COUNTIF(Vertices[Clustering Coefficient], "&gt;= " &amp; R26) - COUNTIF(Vertices[Clustering Coefficient], "&gt;=" &amp; R28)</f>
        <v>0</v>
      </c>
      <c r="T26" s="39" t="e">
        <f t="shared" ca="1" si="9"/>
        <v>#REF!</v>
      </c>
      <c r="U26" s="40" t="e">
        <f ca="1">COUNTIF(INDIRECT(DynamicFilterSourceColumnRange), "&gt;= " &amp; T26) - COUNTIF(INDIRECT(DynamicFilterSourceColumnRange), "&gt;=" &amp; T28)</f>
        <v>#REF!</v>
      </c>
    </row>
    <row r="27" spans="1:21" x14ac:dyDescent="0.25">
      <c r="D27" s="34"/>
      <c r="E27" s="3">
        <f>COUNTIF(Vertices[Degree], "&gt;= " &amp; D27) - COUNTIF(Vertices[Degree], "&gt;=" &amp; D28)</f>
        <v>0</v>
      </c>
      <c r="F27" s="78"/>
      <c r="G27" s="79">
        <f>COUNTIF(Vertices[In-Degree], "&gt;= " &amp; F27) - COUNTIF(Vertices[In-Degree], "&gt;=" &amp; F28)</f>
        <v>-2</v>
      </c>
      <c r="H27" s="78"/>
      <c r="I27" s="79">
        <f>COUNTIF(Vertices[Out-Degree], "&gt;= " &amp; H27) - COUNTIF(Vertices[Out-Degree], "&gt;=" &amp; H28)</f>
        <v>-3</v>
      </c>
      <c r="J27" s="78"/>
      <c r="K27" s="79">
        <f>COUNTIF(Vertices[Betweenness Centrality], "&gt;= " &amp; J27) - COUNTIF(Vertices[Betweenness Centrality], "&gt;=" &amp; J28)</f>
        <v>-3</v>
      </c>
      <c r="L27" s="78"/>
      <c r="M27" s="79">
        <f>COUNTIF(Vertices[Closeness Centrality], "&gt;= " &amp; L27) - COUNTIF(Vertices[Closeness Centrality], "&gt;=" &amp; L28)</f>
        <v>-2</v>
      </c>
      <c r="N27" s="78"/>
      <c r="O27" s="79">
        <f>COUNTIF(Vertices[Eigenvector Centrality], "&gt;= " &amp; N27) - COUNTIF(Vertices[Eigenvector Centrality], "&gt;=" &amp; N28)</f>
        <v>-2</v>
      </c>
      <c r="P27" s="78"/>
      <c r="Q27" s="79">
        <f>COUNTIF(Vertices[Eigenvector Centrality], "&gt;= " &amp; P27) - COUNTIF(Vertices[Eigenvector Centrality], "&gt;=" &amp; P28)</f>
        <v>0</v>
      </c>
      <c r="R27" s="78"/>
      <c r="S27" s="80">
        <f>COUNTIF(Vertices[Clustering Coefficient], "&gt;= " &amp; R27) - COUNTIF(Vertices[Clustering Coefficient], "&gt;=" &amp; R28)</f>
        <v>-3</v>
      </c>
      <c r="T27" s="78"/>
      <c r="U27" s="79">
        <f ca="1">COUNTIF(Vertices[Clustering Coefficient], "&gt;= " &amp; T27) - COUNTIF(Vertices[Clustering Coefficient], "&gt;=" &amp; T28)</f>
        <v>0</v>
      </c>
    </row>
    <row r="28" spans="1:21" x14ac:dyDescent="0.25">
      <c r="D28" s="34">
        <f>D26+($D$57-$D$2)/BinDivisor</f>
        <v>0</v>
      </c>
      <c r="E28" s="3">
        <f>COUNTIF(Vertices[Degree], "&gt;= " &amp; D28) - COUNTIF(Vertices[Degree], "&gt;=" &amp; D40)</f>
        <v>0</v>
      </c>
      <c r="F28" s="41">
        <f>F26+($F$57-$F$2)/BinDivisor</f>
        <v>0.90909090909090928</v>
      </c>
      <c r="G28" s="42">
        <f>COUNTIF(Vertices[In-Degree], "&gt;= " &amp; F28) - COUNTIF(Vertices[In-Degree], "&gt;=" &amp; F40)</f>
        <v>0</v>
      </c>
      <c r="H28" s="41">
        <f>H26+($H$57-$H$2)/BinDivisor</f>
        <v>1</v>
      </c>
      <c r="I28" s="42">
        <f>COUNTIF(Vertices[Out-Degree], "&gt;= " &amp; H28) - COUNTIF(Vertices[Out-Degree], "&gt;=" &amp; H40)</f>
        <v>0</v>
      </c>
      <c r="J28" s="41">
        <f>J26+($J$57-$J$2)/BinDivisor</f>
        <v>0</v>
      </c>
      <c r="K28" s="42">
        <f>COUNTIF(Vertices[Betweenness Centrality], "&gt;= " &amp; J28) - COUNTIF(Vertices[Betweenness Centrality], "&gt;=" &amp; J40)</f>
        <v>0</v>
      </c>
      <c r="L28" s="41">
        <f>L26+($L$57-$L$2)/BinDivisor</f>
        <v>0.45454545454545464</v>
      </c>
      <c r="M28" s="42">
        <f>COUNTIF(Vertices[Closeness Centrality], "&gt;= " &amp; L28) - COUNTIF(Vertices[Closeness Centrality], "&gt;=" &amp; L40)</f>
        <v>0</v>
      </c>
      <c r="N28" s="41">
        <f>N26+($N$57-$N$2)/BinDivisor</f>
        <v>0.31313145454545449</v>
      </c>
      <c r="O28" s="42">
        <f>COUNTIF(Vertices[Eigenvector Centrality], "&gt;= " &amp; N28) - COUNTIF(Vertices[Eigenvector Centrality], "&gt;=" &amp; N40)</f>
        <v>0</v>
      </c>
      <c r="P28" s="41">
        <f>P26+($P$57-$P$2)/BinDivisor</f>
        <v>0.9727243636363635</v>
      </c>
      <c r="Q28" s="42">
        <f>COUNTIF(Vertices[PageRank], "&gt;= " &amp; P28) - COUNTIF(Vertices[PageRank], "&gt;=" &amp; P40)</f>
        <v>0</v>
      </c>
      <c r="R28" s="41">
        <f>R26+($R$57-$R$2)/BinDivisor</f>
        <v>0</v>
      </c>
      <c r="S28" s="46">
        <f>COUNTIF(Vertices[Clustering Coefficient], "&gt;= " &amp; R28) - COUNTIF(Vertices[Clustering Coefficient], "&gt;=" &amp; R40)</f>
        <v>0</v>
      </c>
      <c r="T28" s="41" t="e">
        <f ca="1">T26+($T$57-$T$2)/BinDivisor</f>
        <v>#REF!</v>
      </c>
      <c r="U28" s="42" t="e">
        <f ca="1">COUNTIF(INDIRECT(DynamicFilterSourceColumnRange), "&gt;= " &amp; T28) - COUNTIF(INDIRECT(DynamicFilterSourceColumnRange), "&gt;=" &amp; T40)</f>
        <v>#REF!</v>
      </c>
    </row>
    <row r="29" spans="1:21" x14ac:dyDescent="0.25">
      <c r="D29" s="34"/>
      <c r="E29" s="3">
        <f>COUNTIF(Vertices[Degree], "&gt;= " &amp; D29) - COUNTIF(Vertices[Degree], "&gt;=" &amp; D30)</f>
        <v>0</v>
      </c>
      <c r="F29" s="78"/>
      <c r="G29" s="79">
        <f>COUNTIF(Vertices[In-Degree], "&gt;= " &amp; F29) - COUNTIF(Vertices[In-Degree], "&gt;=" &amp; F30)</f>
        <v>0</v>
      </c>
      <c r="H29" s="78"/>
      <c r="I29" s="79">
        <f>COUNTIF(Vertices[Out-Degree], "&gt;= " &amp; H29) - COUNTIF(Vertices[Out-Degree], "&gt;=" &amp; H30)</f>
        <v>0</v>
      </c>
      <c r="J29" s="78"/>
      <c r="K29" s="79">
        <f>COUNTIF(Vertices[Betweenness Centrality], "&gt;= " &amp; J29) - COUNTIF(Vertices[Betweenness Centrality], "&gt;=" &amp; J30)</f>
        <v>0</v>
      </c>
      <c r="L29" s="78"/>
      <c r="M29" s="79">
        <f>COUNTIF(Vertices[Closeness Centrality], "&gt;= " &amp; L29) - COUNTIF(Vertices[Closeness Centrality], "&gt;=" &amp; L30)</f>
        <v>0</v>
      </c>
      <c r="N29" s="78"/>
      <c r="O29" s="79">
        <f>COUNTIF(Vertices[Eigenvector Centrality], "&gt;= " &amp; N29) - COUNTIF(Vertices[Eigenvector Centrality], "&gt;=" &amp; N30)</f>
        <v>0</v>
      </c>
      <c r="P29" s="78"/>
      <c r="Q29" s="79">
        <f>COUNTIF(Vertices[Eigenvector Centrality], "&gt;= " &amp; P29) - COUNTIF(Vertices[Eigenvector Centrality], "&gt;=" &amp; P30)</f>
        <v>0</v>
      </c>
      <c r="R29" s="78"/>
      <c r="S29" s="80">
        <f>COUNTIF(Vertices[Clustering Coefficient], "&gt;= " &amp; R29) - COUNTIF(Vertices[Clustering Coefficient], "&gt;=" &amp; R30)</f>
        <v>0</v>
      </c>
      <c r="T29" s="78"/>
      <c r="U29" s="79">
        <f>COUNTIF(Vertices[Clustering Coefficient], "&gt;= " &amp; T29) - COUNTIF(Vertices[Clustering Coefficient], "&gt;=" &amp; T30)</f>
        <v>0</v>
      </c>
    </row>
    <row r="30" spans="1:21" x14ac:dyDescent="0.25">
      <c r="D30" s="34"/>
      <c r="E30" s="3">
        <f>COUNTIF(Vertices[Degree], "&gt;= " &amp; D30) - COUNTIF(Vertices[Degree], "&gt;=" &amp; D31)</f>
        <v>0</v>
      </c>
      <c r="F30" s="78"/>
      <c r="G30" s="79">
        <f>COUNTIF(Vertices[In-Degree], "&gt;= " &amp; F30) - COUNTIF(Vertices[In-Degree], "&gt;=" &amp; F31)</f>
        <v>0</v>
      </c>
      <c r="H30" s="78"/>
      <c r="I30" s="79">
        <f>COUNTIF(Vertices[Out-Degree], "&gt;= " &amp; H30) - COUNTIF(Vertices[Out-Degree], "&gt;=" &amp; H31)</f>
        <v>0</v>
      </c>
      <c r="J30" s="78"/>
      <c r="K30" s="79">
        <f>COUNTIF(Vertices[Betweenness Centrality], "&gt;= " &amp; J30) - COUNTIF(Vertices[Betweenness Centrality], "&gt;=" &amp; J31)</f>
        <v>0</v>
      </c>
      <c r="L30" s="78"/>
      <c r="M30" s="79">
        <f>COUNTIF(Vertices[Closeness Centrality], "&gt;= " &amp; L30) - COUNTIF(Vertices[Closeness Centrality], "&gt;=" &amp; L31)</f>
        <v>0</v>
      </c>
      <c r="N30" s="78"/>
      <c r="O30" s="79">
        <f>COUNTIF(Vertices[Eigenvector Centrality], "&gt;= " &amp; N30) - COUNTIF(Vertices[Eigenvector Centrality], "&gt;=" &amp; N31)</f>
        <v>0</v>
      </c>
      <c r="P30" s="78"/>
      <c r="Q30" s="79">
        <f>COUNTIF(Vertices[Eigenvector Centrality], "&gt;= " &amp; P30) - COUNTIF(Vertices[Eigenvector Centrality], "&gt;=" &amp; P31)</f>
        <v>0</v>
      </c>
      <c r="R30" s="78"/>
      <c r="S30" s="80">
        <f>COUNTIF(Vertices[Clustering Coefficient], "&gt;= " &amp; R30) - COUNTIF(Vertices[Clustering Coefficient], "&gt;=" &amp; R31)</f>
        <v>0</v>
      </c>
      <c r="T30" s="78"/>
      <c r="U30" s="79">
        <f>COUNTIF(Vertices[Clustering Coefficient], "&gt;= " &amp; T30) - COUNTIF(Vertices[Clustering Coefficient], "&gt;=" &amp; T31)</f>
        <v>0</v>
      </c>
    </row>
    <row r="31" spans="1:21" x14ac:dyDescent="0.25">
      <c r="D31" s="34"/>
      <c r="E31" s="3">
        <f>COUNTIF(Vertices[Degree], "&gt;= " &amp; D31) - COUNTIF(Vertices[Degree], "&gt;=" &amp; D32)</f>
        <v>0</v>
      </c>
      <c r="F31" s="78"/>
      <c r="G31" s="79">
        <f>COUNTIF(Vertices[In-Degree], "&gt;= " &amp; F31) - COUNTIF(Vertices[In-Degree], "&gt;=" &amp; F32)</f>
        <v>0</v>
      </c>
      <c r="H31" s="78"/>
      <c r="I31" s="79">
        <f>COUNTIF(Vertices[Out-Degree], "&gt;= " &amp; H31) - COUNTIF(Vertices[Out-Degree], "&gt;=" &amp; H32)</f>
        <v>0</v>
      </c>
      <c r="J31" s="78"/>
      <c r="K31" s="79">
        <f>COUNTIF(Vertices[Betweenness Centrality], "&gt;= " &amp; J31) - COUNTIF(Vertices[Betweenness Centrality], "&gt;=" &amp; J32)</f>
        <v>0</v>
      </c>
      <c r="L31" s="78"/>
      <c r="M31" s="79">
        <f>COUNTIF(Vertices[Closeness Centrality], "&gt;= " &amp; L31) - COUNTIF(Vertices[Closeness Centrality], "&gt;=" &amp; L32)</f>
        <v>0</v>
      </c>
      <c r="N31" s="78"/>
      <c r="O31" s="79">
        <f>COUNTIF(Vertices[Eigenvector Centrality], "&gt;= " &amp; N31) - COUNTIF(Vertices[Eigenvector Centrality], "&gt;=" &amp; N32)</f>
        <v>0</v>
      </c>
      <c r="P31" s="78"/>
      <c r="Q31" s="79">
        <f>COUNTIF(Vertices[Eigenvector Centrality], "&gt;= " &amp; P31) - COUNTIF(Vertices[Eigenvector Centrality], "&gt;=" &amp; P32)</f>
        <v>0</v>
      </c>
      <c r="R31" s="78"/>
      <c r="S31" s="80">
        <f>COUNTIF(Vertices[Clustering Coefficient], "&gt;= " &amp; R31) - COUNTIF(Vertices[Clustering Coefficient], "&gt;=" &amp; R32)</f>
        <v>0</v>
      </c>
      <c r="T31" s="78"/>
      <c r="U31" s="79">
        <f>COUNTIF(Vertices[Clustering Coefficient], "&gt;= " &amp; T31) - COUNTIF(Vertices[Clustering Coefficient], "&gt;=" &amp; T32)</f>
        <v>0</v>
      </c>
    </row>
    <row r="32" spans="1:21" x14ac:dyDescent="0.25">
      <c r="D32" s="34"/>
      <c r="E32" s="3">
        <f>COUNTIF(Vertices[Degree], "&gt;= " &amp; D32) - COUNTIF(Vertices[Degree], "&gt;=" &amp; D33)</f>
        <v>0</v>
      </c>
      <c r="F32" s="78"/>
      <c r="G32" s="79">
        <f>COUNTIF(Vertices[In-Degree], "&gt;= " &amp; F32) - COUNTIF(Vertices[In-Degree], "&gt;=" &amp; F33)</f>
        <v>0</v>
      </c>
      <c r="H32" s="78"/>
      <c r="I32" s="79">
        <f>COUNTIF(Vertices[Out-Degree], "&gt;= " &amp; H32) - COUNTIF(Vertices[Out-Degree], "&gt;=" &amp; H33)</f>
        <v>0</v>
      </c>
      <c r="J32" s="78"/>
      <c r="K32" s="79">
        <f>COUNTIF(Vertices[Betweenness Centrality], "&gt;= " &amp; J32) - COUNTIF(Vertices[Betweenness Centrality], "&gt;=" &amp; J33)</f>
        <v>0</v>
      </c>
      <c r="L32" s="78"/>
      <c r="M32" s="79">
        <f>COUNTIF(Vertices[Closeness Centrality], "&gt;= " &amp; L32) - COUNTIF(Vertices[Closeness Centrality], "&gt;=" &amp; L33)</f>
        <v>0</v>
      </c>
      <c r="N32" s="78"/>
      <c r="O32" s="79">
        <f>COUNTIF(Vertices[Eigenvector Centrality], "&gt;= " &amp; N32) - COUNTIF(Vertices[Eigenvector Centrality], "&gt;=" &amp; N33)</f>
        <v>0</v>
      </c>
      <c r="P32" s="78"/>
      <c r="Q32" s="79">
        <f>COUNTIF(Vertices[Eigenvector Centrality], "&gt;= " &amp; P32) - COUNTIF(Vertices[Eigenvector Centrality], "&gt;=" &amp; P33)</f>
        <v>0</v>
      </c>
      <c r="R32" s="78"/>
      <c r="S32" s="80">
        <f>COUNTIF(Vertices[Clustering Coefficient], "&gt;= " &amp; R32) - COUNTIF(Vertices[Clustering Coefficient], "&gt;=" &amp; R33)</f>
        <v>0</v>
      </c>
      <c r="T32" s="78"/>
      <c r="U32" s="79">
        <f>COUNTIF(Vertices[Clustering Coefficient], "&gt;= " &amp; T32) - COUNTIF(Vertices[Clustering Coefficient], "&gt;=" &amp; T33)</f>
        <v>0</v>
      </c>
    </row>
    <row r="33" spans="1:21" x14ac:dyDescent="0.25">
      <c r="D33" s="34"/>
      <c r="E33" s="3">
        <f>COUNTIF(Vertices[Degree], "&gt;= " &amp; D33) - COUNTIF(Vertices[Degree], "&gt;=" &amp; D38)</f>
        <v>0</v>
      </c>
      <c r="F33" s="78"/>
      <c r="G33" s="79">
        <f>COUNTIF(Vertices[In-Degree], "&gt;= " &amp; F33) - COUNTIF(Vertices[In-Degree], "&gt;=" &amp; F38)</f>
        <v>0</v>
      </c>
      <c r="H33" s="78"/>
      <c r="I33" s="79">
        <f>COUNTIF(Vertices[Out-Degree], "&gt;= " &amp; H33) - COUNTIF(Vertices[Out-Degree], "&gt;=" &amp; H38)</f>
        <v>0</v>
      </c>
      <c r="J33" s="78"/>
      <c r="K33" s="79">
        <f>COUNTIF(Vertices[Betweenness Centrality], "&gt;= " &amp; J33) - COUNTIF(Vertices[Betweenness Centrality], "&gt;=" &amp; J38)</f>
        <v>0</v>
      </c>
      <c r="L33" s="78"/>
      <c r="M33" s="79">
        <f>COUNTIF(Vertices[Closeness Centrality], "&gt;= " &amp; L33) - COUNTIF(Vertices[Closeness Centrality], "&gt;=" &amp; L38)</f>
        <v>0</v>
      </c>
      <c r="N33" s="78"/>
      <c r="O33" s="79">
        <f>COUNTIF(Vertices[Eigenvector Centrality], "&gt;= " &amp; N33) - COUNTIF(Vertices[Eigenvector Centrality], "&gt;=" &amp; N38)</f>
        <v>0</v>
      </c>
      <c r="P33" s="78"/>
      <c r="Q33" s="79">
        <f>COUNTIF(Vertices[Eigenvector Centrality], "&gt;= " &amp; P33) - COUNTIF(Vertices[Eigenvector Centrality], "&gt;=" &amp; P38)</f>
        <v>0</v>
      </c>
      <c r="R33" s="78"/>
      <c r="S33" s="80">
        <f>COUNTIF(Vertices[Clustering Coefficient], "&gt;= " &amp; R33) - COUNTIF(Vertices[Clustering Coefficient], "&gt;=" &amp; R38)</f>
        <v>0</v>
      </c>
      <c r="T33" s="78"/>
      <c r="U33" s="79">
        <f>COUNTIF(Vertices[Clustering Coefficient], "&gt;= " &amp; T33) - COUNTIF(Vertices[Clustering Coefficient], "&gt;=" &amp; T38)</f>
        <v>0</v>
      </c>
    </row>
    <row r="34" spans="1:21" x14ac:dyDescent="0.25">
      <c r="D34" s="34"/>
      <c r="E34" s="3">
        <f>COUNTIF(Vertices[Degree], "&gt;= " &amp; D34) - COUNTIF(Vertices[Degree], "&gt;=" &amp; D35)</f>
        <v>0</v>
      </c>
      <c r="F34" s="78"/>
      <c r="G34" s="79">
        <f>COUNTIF(Vertices[In-Degree], "&gt;= " &amp; F34) - COUNTIF(Vertices[In-Degree], "&gt;=" &amp; F35)</f>
        <v>0</v>
      </c>
      <c r="H34" s="78"/>
      <c r="I34" s="79">
        <f>COUNTIF(Vertices[Out-Degree], "&gt;= " &amp; H34) - COUNTIF(Vertices[Out-Degree], "&gt;=" &amp; H35)</f>
        <v>0</v>
      </c>
      <c r="J34" s="78"/>
      <c r="K34" s="79">
        <f>COUNTIF(Vertices[Betweenness Centrality], "&gt;= " &amp; J34) - COUNTIF(Vertices[Betweenness Centrality], "&gt;=" &amp; J35)</f>
        <v>0</v>
      </c>
      <c r="L34" s="78"/>
      <c r="M34" s="79">
        <f>COUNTIF(Vertices[Closeness Centrality], "&gt;= " &amp; L34) - COUNTIF(Vertices[Closeness Centrality], "&gt;=" &amp; L35)</f>
        <v>0</v>
      </c>
      <c r="N34" s="78"/>
      <c r="O34" s="79">
        <f>COUNTIF(Vertices[Eigenvector Centrality], "&gt;= " &amp; N34) - COUNTIF(Vertices[Eigenvector Centrality], "&gt;=" &amp; N35)</f>
        <v>0</v>
      </c>
      <c r="P34" s="78"/>
      <c r="Q34" s="79">
        <f>COUNTIF(Vertices[Eigenvector Centrality], "&gt;= " &amp; P34) - COUNTIF(Vertices[Eigenvector Centrality], "&gt;=" &amp; P35)</f>
        <v>0</v>
      </c>
      <c r="R34" s="78"/>
      <c r="S34" s="80">
        <f>COUNTIF(Vertices[Clustering Coefficient], "&gt;= " &amp; R34) - COUNTIF(Vertices[Clustering Coefficient], "&gt;=" &amp; R35)</f>
        <v>0</v>
      </c>
      <c r="T34" s="78"/>
      <c r="U34" s="79">
        <f>COUNTIF(Vertices[Clustering Coefficient], "&gt;= " &amp; T34) - COUNTIF(Vertices[Clustering Coefficient], "&gt;=" &amp; T35)</f>
        <v>0</v>
      </c>
    </row>
    <row r="35" spans="1:21" x14ac:dyDescent="0.25">
      <c r="D35" s="34"/>
      <c r="E35" s="3">
        <f>COUNTIF(Vertices[Degree], "&gt;= " &amp; D35) - COUNTIF(Vertices[Degree], "&gt;=" &amp; D36)</f>
        <v>0</v>
      </c>
      <c r="F35" s="78"/>
      <c r="G35" s="79">
        <f>COUNTIF(Vertices[In-Degree], "&gt;= " &amp; F35) - COUNTIF(Vertices[In-Degree], "&gt;=" &amp; F36)</f>
        <v>0</v>
      </c>
      <c r="H35" s="78"/>
      <c r="I35" s="79">
        <f>COUNTIF(Vertices[Out-Degree], "&gt;= " &amp; H35) - COUNTIF(Vertices[Out-Degree], "&gt;=" &amp; H36)</f>
        <v>0</v>
      </c>
      <c r="J35" s="78"/>
      <c r="K35" s="79">
        <f>COUNTIF(Vertices[Betweenness Centrality], "&gt;= " &amp; J35) - COUNTIF(Vertices[Betweenness Centrality], "&gt;=" &amp; J36)</f>
        <v>0</v>
      </c>
      <c r="L35" s="78"/>
      <c r="M35" s="79">
        <f>COUNTIF(Vertices[Closeness Centrality], "&gt;= " &amp; L35) - COUNTIF(Vertices[Closeness Centrality], "&gt;=" &amp; L36)</f>
        <v>0</v>
      </c>
      <c r="N35" s="78"/>
      <c r="O35" s="79">
        <f>COUNTIF(Vertices[Eigenvector Centrality], "&gt;= " &amp; N35) - COUNTIF(Vertices[Eigenvector Centrality], "&gt;=" &amp; N36)</f>
        <v>0</v>
      </c>
      <c r="P35" s="78"/>
      <c r="Q35" s="79">
        <f>COUNTIF(Vertices[Eigenvector Centrality], "&gt;= " &amp; P35) - COUNTIF(Vertices[Eigenvector Centrality], "&gt;=" &amp; P36)</f>
        <v>0</v>
      </c>
      <c r="R35" s="78"/>
      <c r="S35" s="80">
        <f>COUNTIF(Vertices[Clustering Coefficient], "&gt;= " &amp; R35) - COUNTIF(Vertices[Clustering Coefficient], "&gt;=" &amp; R36)</f>
        <v>0</v>
      </c>
      <c r="T35" s="78"/>
      <c r="U35" s="79">
        <f>COUNTIF(Vertices[Clustering Coefficient], "&gt;= " &amp; T35) - COUNTIF(Vertices[Clustering Coefficient], "&gt;=" &amp; T36)</f>
        <v>0</v>
      </c>
    </row>
    <row r="36" spans="1:21" x14ac:dyDescent="0.25">
      <c r="D36" s="34"/>
      <c r="E36" s="3">
        <f>COUNTIF(Vertices[Degree], "&gt;= " &amp; D36) - COUNTIF(Vertices[Degree], "&gt;=" &amp; D37)</f>
        <v>0</v>
      </c>
      <c r="F36" s="78"/>
      <c r="G36" s="79">
        <f>COUNTIF(Vertices[In-Degree], "&gt;= " &amp; F36) - COUNTIF(Vertices[In-Degree], "&gt;=" &amp; F37)</f>
        <v>0</v>
      </c>
      <c r="H36" s="78"/>
      <c r="I36" s="79">
        <f>COUNTIF(Vertices[Out-Degree], "&gt;= " &amp; H36) - COUNTIF(Vertices[Out-Degree], "&gt;=" &amp; H37)</f>
        <v>0</v>
      </c>
      <c r="J36" s="78"/>
      <c r="K36" s="79">
        <f>COUNTIF(Vertices[Betweenness Centrality], "&gt;= " &amp; J36) - COUNTIF(Vertices[Betweenness Centrality], "&gt;=" &amp; J37)</f>
        <v>0</v>
      </c>
      <c r="L36" s="78"/>
      <c r="M36" s="79">
        <f>COUNTIF(Vertices[Closeness Centrality], "&gt;= " &amp; L36) - COUNTIF(Vertices[Closeness Centrality], "&gt;=" &amp; L37)</f>
        <v>0</v>
      </c>
      <c r="N36" s="78"/>
      <c r="O36" s="79">
        <f>COUNTIF(Vertices[Eigenvector Centrality], "&gt;= " &amp; N36) - COUNTIF(Vertices[Eigenvector Centrality], "&gt;=" &amp; N37)</f>
        <v>0</v>
      </c>
      <c r="P36" s="78"/>
      <c r="Q36" s="79">
        <f>COUNTIF(Vertices[Eigenvector Centrality], "&gt;= " &amp; P36) - COUNTIF(Vertices[Eigenvector Centrality], "&gt;=" &amp; P37)</f>
        <v>0</v>
      </c>
      <c r="R36" s="78"/>
      <c r="S36" s="80">
        <f>COUNTIF(Vertices[Clustering Coefficient], "&gt;= " &amp; R36) - COUNTIF(Vertices[Clustering Coefficient], "&gt;=" &amp; R37)</f>
        <v>0</v>
      </c>
      <c r="T36" s="78"/>
      <c r="U36" s="79">
        <f>COUNTIF(Vertices[Clustering Coefficient], "&gt;= " &amp; T36) - COUNTIF(Vertices[Clustering Coefficient], "&gt;=" &amp; T37)</f>
        <v>0</v>
      </c>
    </row>
    <row r="37" spans="1:21" x14ac:dyDescent="0.25">
      <c r="D37" s="34"/>
      <c r="E37" s="3">
        <f>COUNTIF(Vertices[Degree], "&gt;= " &amp; D37) - COUNTIF(Vertices[Degree], "&gt;=" &amp; D38)</f>
        <v>0</v>
      </c>
      <c r="F37" s="78"/>
      <c r="G37" s="79">
        <f>COUNTIF(Vertices[In-Degree], "&gt;= " &amp; F37) - COUNTIF(Vertices[In-Degree], "&gt;=" &amp; F38)</f>
        <v>0</v>
      </c>
      <c r="H37" s="78"/>
      <c r="I37" s="79">
        <f>COUNTIF(Vertices[Out-Degree], "&gt;= " &amp; H37) - COUNTIF(Vertices[Out-Degree], "&gt;=" &amp; H38)</f>
        <v>0</v>
      </c>
      <c r="J37" s="78"/>
      <c r="K37" s="79">
        <f>COUNTIF(Vertices[Betweenness Centrality], "&gt;= " &amp; J37) - COUNTIF(Vertices[Betweenness Centrality], "&gt;=" &amp; J38)</f>
        <v>0</v>
      </c>
      <c r="L37" s="78"/>
      <c r="M37" s="79">
        <f>COUNTIF(Vertices[Closeness Centrality], "&gt;= " &amp; L37) - COUNTIF(Vertices[Closeness Centrality], "&gt;=" &amp; L38)</f>
        <v>0</v>
      </c>
      <c r="N37" s="78"/>
      <c r="O37" s="79">
        <f>COUNTIF(Vertices[Eigenvector Centrality], "&gt;= " &amp; N37) - COUNTIF(Vertices[Eigenvector Centrality], "&gt;=" &amp; N38)</f>
        <v>0</v>
      </c>
      <c r="P37" s="78"/>
      <c r="Q37" s="79">
        <f>COUNTIF(Vertices[Eigenvector Centrality], "&gt;= " &amp; P37) - COUNTIF(Vertices[Eigenvector Centrality], "&gt;=" &amp; P38)</f>
        <v>0</v>
      </c>
      <c r="R37" s="78"/>
      <c r="S37" s="80">
        <f>COUNTIF(Vertices[Clustering Coefficient], "&gt;= " &amp; R37) - COUNTIF(Vertices[Clustering Coefficient], "&gt;=" &amp; R38)</f>
        <v>0</v>
      </c>
      <c r="T37" s="78"/>
      <c r="U37" s="79">
        <f>COUNTIF(Vertices[Clustering Coefficient], "&gt;= " &amp; T37) - COUNTIF(Vertices[Clustering Coefficient], "&gt;=" &amp; T38)</f>
        <v>0</v>
      </c>
    </row>
    <row r="38" spans="1:21" x14ac:dyDescent="0.25">
      <c r="D38" s="34"/>
      <c r="E38" s="3">
        <f>COUNTIF(Vertices[Degree], "&gt;= " &amp; D38) - COUNTIF(Vertices[Degree], "&gt;=" &amp; D40)</f>
        <v>0</v>
      </c>
      <c r="F38" s="78"/>
      <c r="G38" s="79">
        <f>COUNTIF(Vertices[In-Degree], "&gt;= " &amp; F38) - COUNTIF(Vertices[In-Degree], "&gt;=" &amp; F40)</f>
        <v>-2</v>
      </c>
      <c r="H38" s="78"/>
      <c r="I38" s="79">
        <f>COUNTIF(Vertices[Out-Degree], "&gt;= " &amp; H38) - COUNTIF(Vertices[Out-Degree], "&gt;=" &amp; H40)</f>
        <v>-3</v>
      </c>
      <c r="J38" s="78"/>
      <c r="K38" s="79">
        <f>COUNTIF(Vertices[Betweenness Centrality], "&gt;= " &amp; J38) - COUNTIF(Vertices[Betweenness Centrality], "&gt;=" &amp; J40)</f>
        <v>-3</v>
      </c>
      <c r="L38" s="78"/>
      <c r="M38" s="79">
        <f>COUNTIF(Vertices[Closeness Centrality], "&gt;= " &amp; L38) - COUNTIF(Vertices[Closeness Centrality], "&gt;=" &amp; L40)</f>
        <v>-2</v>
      </c>
      <c r="N38" s="78"/>
      <c r="O38" s="79">
        <f>COUNTIF(Vertices[Eigenvector Centrality], "&gt;= " &amp; N38) - COUNTIF(Vertices[Eigenvector Centrality], "&gt;=" &amp; N40)</f>
        <v>-2</v>
      </c>
      <c r="P38" s="78"/>
      <c r="Q38" s="79">
        <f>COUNTIF(Vertices[Eigenvector Centrality], "&gt;= " &amp; P38) - COUNTIF(Vertices[Eigenvector Centrality], "&gt;=" &amp; P40)</f>
        <v>0</v>
      </c>
      <c r="R38" s="78"/>
      <c r="S38" s="80">
        <f>COUNTIF(Vertices[Clustering Coefficient], "&gt;= " &amp; R38) - COUNTIF(Vertices[Clustering Coefficient], "&gt;=" &amp; R40)</f>
        <v>-3</v>
      </c>
      <c r="T38" s="78"/>
      <c r="U38" s="79">
        <f ca="1">COUNTIF(Vertices[Clustering Coefficient], "&gt;= " &amp; T38) - COUNTIF(Vertices[Clustering Coefficient], "&gt;=" &amp; T40)</f>
        <v>0</v>
      </c>
    </row>
    <row r="39" spans="1:21" x14ac:dyDescent="0.25">
      <c r="D39" s="34"/>
      <c r="E39" s="3">
        <f>COUNTIF(Vertices[Degree], "&gt;= " &amp; D39) - COUNTIF(Vertices[Degree], "&gt;=" &amp; D40)</f>
        <v>0</v>
      </c>
      <c r="F39" s="78"/>
      <c r="G39" s="79">
        <f>COUNTIF(Vertices[In-Degree], "&gt;= " &amp; F39) - COUNTIF(Vertices[In-Degree], "&gt;=" &amp; F40)</f>
        <v>-2</v>
      </c>
      <c r="H39" s="78"/>
      <c r="I39" s="79">
        <f>COUNTIF(Vertices[Out-Degree], "&gt;= " &amp; H39) - COUNTIF(Vertices[Out-Degree], "&gt;=" &amp; H40)</f>
        <v>-3</v>
      </c>
      <c r="J39" s="78"/>
      <c r="K39" s="79">
        <f>COUNTIF(Vertices[Betweenness Centrality], "&gt;= " &amp; J39) - COUNTIF(Vertices[Betweenness Centrality], "&gt;=" &amp; J40)</f>
        <v>-3</v>
      </c>
      <c r="L39" s="78"/>
      <c r="M39" s="79">
        <f>COUNTIF(Vertices[Closeness Centrality], "&gt;= " &amp; L39) - COUNTIF(Vertices[Closeness Centrality], "&gt;=" &amp; L40)</f>
        <v>-2</v>
      </c>
      <c r="N39" s="78"/>
      <c r="O39" s="79">
        <f>COUNTIF(Vertices[Eigenvector Centrality], "&gt;= " &amp; N39) - COUNTIF(Vertices[Eigenvector Centrality], "&gt;=" &amp; N40)</f>
        <v>-2</v>
      </c>
      <c r="P39" s="78"/>
      <c r="Q39" s="79">
        <f>COUNTIF(Vertices[Eigenvector Centrality], "&gt;= " &amp; P39) - COUNTIF(Vertices[Eigenvector Centrality], "&gt;=" &amp; P40)</f>
        <v>0</v>
      </c>
      <c r="R39" s="78"/>
      <c r="S39" s="80">
        <f>COUNTIF(Vertices[Clustering Coefficient], "&gt;= " &amp; R39) - COUNTIF(Vertices[Clustering Coefficient], "&gt;=" &amp; R40)</f>
        <v>-3</v>
      </c>
      <c r="T39" s="78"/>
      <c r="U39" s="79">
        <f ca="1">COUNTIF(Vertices[Clustering Coefficient], "&gt;= " &amp; T39) - COUNTIF(Vertices[Clustering Coefficient], "&gt;=" &amp; T40)</f>
        <v>0</v>
      </c>
    </row>
    <row r="40" spans="1:21" x14ac:dyDescent="0.25">
      <c r="D40" s="34">
        <f>D28+($D$57-$D$2)/BinDivisor</f>
        <v>0</v>
      </c>
      <c r="E40" s="3">
        <f>COUNTIF(Vertices[Degree], "&gt;= " &amp; D40) - COUNTIF(Vertices[Degree], "&gt;=" &amp; D41)</f>
        <v>0</v>
      </c>
      <c r="F40" s="39">
        <f>F28+($F$57-$F$2)/BinDivisor</f>
        <v>0.94545454545454566</v>
      </c>
      <c r="G40" s="40">
        <f>COUNTIF(Vertices[In-Degree], "&gt;= " &amp; F40) - COUNTIF(Vertices[In-Degree], "&gt;=" &amp; F41)</f>
        <v>0</v>
      </c>
      <c r="H40" s="39">
        <f>H28+($H$57-$H$2)/BinDivisor</f>
        <v>1</v>
      </c>
      <c r="I40" s="40">
        <f>COUNTIF(Vertices[Out-Degree], "&gt;= " &amp; H40) - COUNTIF(Vertices[Out-Degree], "&gt;=" &amp; H41)</f>
        <v>0</v>
      </c>
      <c r="J40" s="39">
        <f>J28+($J$57-$J$2)/BinDivisor</f>
        <v>0</v>
      </c>
      <c r="K40" s="40">
        <f>COUNTIF(Vertices[Betweenness Centrality], "&gt;= " &amp; J40) - COUNTIF(Vertices[Betweenness Centrality], "&gt;=" &amp; J41)</f>
        <v>0</v>
      </c>
      <c r="L40" s="39">
        <f>L28+($L$57-$L$2)/BinDivisor</f>
        <v>0.47272727272727283</v>
      </c>
      <c r="M40" s="40">
        <f>COUNTIF(Vertices[Closeness Centrality], "&gt;= " &amp; L40) - COUNTIF(Vertices[Closeness Centrality], "&gt;=" &amp; L41)</f>
        <v>0</v>
      </c>
      <c r="N40" s="39">
        <f>N28+($N$57-$N$2)/BinDivisor</f>
        <v>0.32121227272727265</v>
      </c>
      <c r="O40" s="40">
        <f>COUNTIF(Vertices[Eigenvector Centrality], "&gt;= " &amp; N40) - COUNTIF(Vertices[Eigenvector Centrality], "&gt;=" &amp; N41)</f>
        <v>0</v>
      </c>
      <c r="P40" s="39">
        <f>P28+($P$57-$P$2)/BinDivisor</f>
        <v>0.98356761818181804</v>
      </c>
      <c r="Q40" s="40">
        <f>COUNTIF(Vertices[PageRank], "&gt;= " &amp; P40) - COUNTIF(Vertices[PageRank], "&gt;=" &amp; P41)</f>
        <v>0</v>
      </c>
      <c r="R40" s="39">
        <f>R28+($R$57-$R$2)/BinDivisor</f>
        <v>0</v>
      </c>
      <c r="S40" s="45">
        <f>COUNTIF(Vertices[Clustering Coefficient], "&gt;= " &amp; R40) - COUNTIF(Vertices[Clustering Coefficient], "&gt;=" &amp; R41)</f>
        <v>0</v>
      </c>
      <c r="T40" s="39" t="e">
        <f ca="1">T28+($T$57-$T$2)/BinDivisor</f>
        <v>#REF!</v>
      </c>
      <c r="U40" s="40" t="e">
        <f t="shared" ca="1" si="0"/>
        <v>#REF!</v>
      </c>
    </row>
    <row r="41" spans="1:21" x14ac:dyDescent="0.25">
      <c r="A41" t="s">
        <v>163</v>
      </c>
      <c r="B41" t="s">
        <v>17</v>
      </c>
      <c r="D41" s="34">
        <f t="shared" ref="D41:D56" si="10">D40+($D$57-$D$2)/BinDivisor</f>
        <v>0</v>
      </c>
      <c r="E41" s="3">
        <f>COUNTIF(Vertices[Degree], "&gt;= " &amp; D41) - COUNTIF(Vertices[Degree], "&gt;=" &amp; D42)</f>
        <v>0</v>
      </c>
      <c r="F41" s="41">
        <f t="shared" ref="F41:F56" si="11">F40+($F$57-$F$2)/BinDivisor</f>
        <v>0.98181818181818203</v>
      </c>
      <c r="G41" s="42">
        <f>COUNTIF(Vertices[In-Degree], "&gt;= " &amp; F41) - COUNTIF(Vertices[In-Degree], "&gt;=" &amp; F42)</f>
        <v>1</v>
      </c>
      <c r="H41" s="41">
        <f t="shared" ref="H41:H56" si="12">H40+($H$57-$H$2)/BinDivisor</f>
        <v>1</v>
      </c>
      <c r="I41" s="42">
        <f>COUNTIF(Vertices[Out-Degree], "&gt;= " &amp; H41) - COUNTIF(Vertices[Out-Degree], "&gt;=" &amp; H42)</f>
        <v>0</v>
      </c>
      <c r="J41" s="41">
        <f t="shared" ref="J41:J56" si="13">J40+($J$57-$J$2)/BinDivisor</f>
        <v>0</v>
      </c>
      <c r="K41" s="42">
        <f>COUNTIF(Vertices[Betweenness Centrality], "&gt;= " &amp; J41) - COUNTIF(Vertices[Betweenness Centrality], "&gt;=" &amp; J42)</f>
        <v>0</v>
      </c>
      <c r="L41" s="41">
        <f t="shared" ref="L41:L56" si="14">L40+($L$57-$L$2)/BinDivisor</f>
        <v>0.49090909090909102</v>
      </c>
      <c r="M41" s="42">
        <f>COUNTIF(Vertices[Closeness Centrality], "&gt;= " &amp; L41) - COUNTIF(Vertices[Closeness Centrality], "&gt;=" &amp; L42)</f>
        <v>0</v>
      </c>
      <c r="N41" s="41">
        <f t="shared" ref="N41:N56" si="15">N40+($N$57-$N$2)/BinDivisor</f>
        <v>0.32929309090909081</v>
      </c>
      <c r="O41" s="42">
        <f>COUNTIF(Vertices[Eigenvector Centrality], "&gt;= " &amp; N41) - COUNTIF(Vertices[Eigenvector Centrality], "&gt;=" &amp; N42)</f>
        <v>1</v>
      </c>
      <c r="P41" s="41">
        <f t="shared" ref="P41:P56" si="16">P40+($P$57-$P$2)/BinDivisor</f>
        <v>0.99441087272727258</v>
      </c>
      <c r="Q41" s="42">
        <f>COUNTIF(Vertices[PageRank], "&gt;= " &amp; P41) - COUNTIF(Vertices[PageRank], "&gt;=" &amp; P42)</f>
        <v>1</v>
      </c>
      <c r="R41" s="41">
        <f t="shared" ref="R41:R56" si="17">R40+($R$57-$R$2)/BinDivisor</f>
        <v>0</v>
      </c>
      <c r="S41" s="46">
        <f>COUNTIF(Vertices[Clustering Coefficient], "&gt;= " &amp; R41) - COUNTIF(Vertices[Clustering Coefficient], "&gt;=" &amp; R42)</f>
        <v>0</v>
      </c>
      <c r="T41" s="41" t="e">
        <f t="shared" ref="T41:T56" ca="1" si="18">T40+($T$57-$T$2)/BinDivisor</f>
        <v>#REF!</v>
      </c>
      <c r="U41" s="42" t="e">
        <f t="shared" ca="1" si="0"/>
        <v>#REF!</v>
      </c>
    </row>
    <row r="42" spans="1:21" x14ac:dyDescent="0.25">
      <c r="A42" s="35"/>
      <c r="B42" s="35"/>
      <c r="D42" s="34">
        <f t="shared" si="10"/>
        <v>0</v>
      </c>
      <c r="E42" s="3">
        <f>COUNTIF(Vertices[Degree], "&gt;= " &amp; D42) - COUNTIF(Vertices[Degree], "&gt;=" &amp; D43)</f>
        <v>0</v>
      </c>
      <c r="F42" s="39">
        <f t="shared" si="11"/>
        <v>1.0181818181818183</v>
      </c>
      <c r="G42" s="40">
        <f>COUNTIF(Vertices[In-Degree], "&gt;= " &amp; F42) - COUNTIF(Vertices[In-Degree], "&gt;=" &amp; F43)</f>
        <v>0</v>
      </c>
      <c r="H42" s="39">
        <f t="shared" si="12"/>
        <v>1</v>
      </c>
      <c r="I42" s="40">
        <f>COUNTIF(Vertices[Out-Degree], "&gt;= " &amp; H42) - COUNTIF(Vertices[Out-Degree], "&gt;=" &amp; H43)</f>
        <v>0</v>
      </c>
      <c r="J42" s="39">
        <f t="shared" si="13"/>
        <v>0</v>
      </c>
      <c r="K42" s="40">
        <f>COUNTIF(Vertices[Betweenness Centrality], "&gt;= " &amp; J42) - COUNTIF(Vertices[Betweenness Centrality], "&gt;=" &amp; J43)</f>
        <v>0</v>
      </c>
      <c r="L42" s="39">
        <f t="shared" si="14"/>
        <v>0.50909090909090915</v>
      </c>
      <c r="M42" s="40">
        <f>COUNTIF(Vertices[Closeness Centrality], "&gt;= " &amp; L42) - COUNTIF(Vertices[Closeness Centrality], "&gt;=" &amp; L43)</f>
        <v>0</v>
      </c>
      <c r="N42" s="39">
        <f t="shared" si="15"/>
        <v>0.33737390909090897</v>
      </c>
      <c r="O42" s="40">
        <f>COUNTIF(Vertices[Eigenvector Centrality], "&gt;= " &amp; N42) - COUNTIF(Vertices[Eigenvector Centrality], "&gt;=" &amp; N43)</f>
        <v>0</v>
      </c>
      <c r="P42" s="39">
        <f t="shared" si="16"/>
        <v>1.0052541272727271</v>
      </c>
      <c r="Q42" s="40">
        <f>COUNTIF(Vertices[PageRank], "&gt;= " &amp; P42) - COUNTIF(Vertices[PageRank], "&gt;=" &amp; P43)</f>
        <v>0</v>
      </c>
      <c r="R42" s="39">
        <f t="shared" si="17"/>
        <v>0</v>
      </c>
      <c r="S42" s="45">
        <f>COUNTIF(Vertices[Clustering Coefficient], "&gt;= " &amp; R42) - COUNTIF(Vertices[Clustering Coefficient], "&gt;=" &amp; R43)</f>
        <v>0</v>
      </c>
      <c r="T42" s="39" t="e">
        <f t="shared" ca="1" si="18"/>
        <v>#REF!</v>
      </c>
      <c r="U42" s="40" t="e">
        <f t="shared" ca="1" si="0"/>
        <v>#REF!</v>
      </c>
    </row>
    <row r="43" spans="1:21" x14ac:dyDescent="0.25">
      <c r="A43" s="35"/>
      <c r="B43" s="35"/>
      <c r="D43" s="34">
        <f t="shared" si="10"/>
        <v>0</v>
      </c>
      <c r="E43" s="3">
        <f>COUNTIF(Vertices[Degree], "&gt;= " &amp; D43) - COUNTIF(Vertices[Degree], "&gt;=" &amp; D44)</f>
        <v>0</v>
      </c>
      <c r="F43" s="41">
        <f t="shared" si="11"/>
        <v>1.0545454545454547</v>
      </c>
      <c r="G43" s="42">
        <f>COUNTIF(Vertices[In-Degree], "&gt;= " &amp; F43) - COUNTIF(Vertices[In-Degree], "&gt;=" &amp; F44)</f>
        <v>0</v>
      </c>
      <c r="H43" s="41">
        <f t="shared" si="12"/>
        <v>1</v>
      </c>
      <c r="I43" s="42">
        <f>COUNTIF(Vertices[Out-Degree], "&gt;= " &amp; H43) - COUNTIF(Vertices[Out-Degree], "&gt;=" &amp; H44)</f>
        <v>0</v>
      </c>
      <c r="J43" s="41">
        <f t="shared" si="13"/>
        <v>0</v>
      </c>
      <c r="K43" s="42">
        <f>COUNTIF(Vertices[Betweenness Centrality], "&gt;= " &amp; J43) - COUNTIF(Vertices[Betweenness Centrality], "&gt;=" &amp; J44)</f>
        <v>0</v>
      </c>
      <c r="L43" s="41">
        <f t="shared" si="14"/>
        <v>0.52727272727272734</v>
      </c>
      <c r="M43" s="42">
        <f>COUNTIF(Vertices[Closeness Centrality], "&gt;= " &amp; L43) - COUNTIF(Vertices[Closeness Centrality], "&gt;=" &amp; L44)</f>
        <v>0</v>
      </c>
      <c r="N43" s="41">
        <f t="shared" si="15"/>
        <v>0.34545472727272714</v>
      </c>
      <c r="O43" s="42">
        <f>COUNTIF(Vertices[Eigenvector Centrality], "&gt;= " &amp; N43) - COUNTIF(Vertices[Eigenvector Centrality], "&gt;=" &amp; N44)</f>
        <v>0</v>
      </c>
      <c r="P43" s="41">
        <f t="shared" si="16"/>
        <v>1.0160973818181818</v>
      </c>
      <c r="Q43" s="42">
        <f>COUNTIF(Vertices[PageRank], "&gt;= " &amp; P43) - COUNTIF(Vertices[PageRank], "&gt;=" &amp; P44)</f>
        <v>0</v>
      </c>
      <c r="R43" s="41">
        <f t="shared" si="17"/>
        <v>0</v>
      </c>
      <c r="S43" s="46">
        <f>COUNTIF(Vertices[Clustering Coefficient], "&gt;= " &amp; R43) - COUNTIF(Vertices[Clustering Coefficient], "&gt;=" &amp; R44)</f>
        <v>0</v>
      </c>
      <c r="T43" s="41" t="e">
        <f t="shared" ca="1" si="18"/>
        <v>#REF!</v>
      </c>
      <c r="U43" s="42" t="e">
        <f t="shared" ca="1" si="0"/>
        <v>#REF!</v>
      </c>
    </row>
    <row r="44" spans="1:21" x14ac:dyDescent="0.25">
      <c r="A44" s="35"/>
      <c r="B44" s="35"/>
      <c r="D44" s="34">
        <f t="shared" si="10"/>
        <v>0</v>
      </c>
      <c r="E44" s="3">
        <f>COUNTIF(Vertices[Degree], "&gt;= " &amp; D44) - COUNTIF(Vertices[Degree], "&gt;=" &amp; D45)</f>
        <v>0</v>
      </c>
      <c r="F44" s="39">
        <f t="shared" si="11"/>
        <v>1.0909090909090911</v>
      </c>
      <c r="G44" s="40">
        <f>COUNTIF(Vertices[In-Degree], "&gt;= " &amp; F44) - COUNTIF(Vertices[In-Degree], "&gt;=" &amp; F45)</f>
        <v>0</v>
      </c>
      <c r="H44" s="39">
        <f t="shared" si="12"/>
        <v>1</v>
      </c>
      <c r="I44" s="40">
        <f>COUNTIF(Vertices[Out-Degree], "&gt;= " &amp; H44) - COUNTIF(Vertices[Out-Degree], "&gt;=" &amp; H45)</f>
        <v>0</v>
      </c>
      <c r="J44" s="39">
        <f t="shared" si="13"/>
        <v>0</v>
      </c>
      <c r="K44" s="40">
        <f>COUNTIF(Vertices[Betweenness Centrality], "&gt;= " &amp; J44) - COUNTIF(Vertices[Betweenness Centrality], "&gt;=" &amp; J45)</f>
        <v>0</v>
      </c>
      <c r="L44" s="39">
        <f t="shared" si="14"/>
        <v>0.54545454545454553</v>
      </c>
      <c r="M44" s="40">
        <f>COUNTIF(Vertices[Closeness Centrality], "&gt;= " &amp; L44) - COUNTIF(Vertices[Closeness Centrality], "&gt;=" &amp; L45)</f>
        <v>0</v>
      </c>
      <c r="N44" s="39">
        <f t="shared" si="15"/>
        <v>0.3535355454545453</v>
      </c>
      <c r="O44" s="40">
        <f>COUNTIF(Vertices[Eigenvector Centrality], "&gt;= " &amp; N44) - COUNTIF(Vertices[Eigenvector Centrality], "&gt;=" &amp; N45)</f>
        <v>0</v>
      </c>
      <c r="P44" s="39">
        <f t="shared" si="16"/>
        <v>1.0269406363636364</v>
      </c>
      <c r="Q44" s="40">
        <f>COUNTIF(Vertices[PageRank], "&gt;= " &amp; P44) - COUNTIF(Vertices[PageRank], "&gt;=" &amp; P45)</f>
        <v>0</v>
      </c>
      <c r="R44" s="39">
        <f t="shared" si="17"/>
        <v>0</v>
      </c>
      <c r="S44" s="45">
        <f>COUNTIF(Vertices[Clustering Coefficient], "&gt;= " &amp; R44) - COUNTIF(Vertices[Clustering Coefficient], "&gt;=" &amp; R45)</f>
        <v>0</v>
      </c>
      <c r="T44" s="39" t="e">
        <f t="shared" ca="1" si="18"/>
        <v>#REF!</v>
      </c>
      <c r="U44" s="40" t="e">
        <f t="shared" ca="1" si="0"/>
        <v>#REF!</v>
      </c>
    </row>
    <row r="45" spans="1:21" x14ac:dyDescent="0.25">
      <c r="D45" s="34">
        <f t="shared" si="10"/>
        <v>0</v>
      </c>
      <c r="E45" s="3">
        <f>COUNTIF(Vertices[Degree], "&gt;= " &amp; D45) - COUNTIF(Vertices[Degree], "&gt;=" &amp; D46)</f>
        <v>0</v>
      </c>
      <c r="F45" s="41">
        <f t="shared" si="11"/>
        <v>1.1272727272727274</v>
      </c>
      <c r="G45" s="42">
        <f>COUNTIF(Vertices[In-Degree], "&gt;= " &amp; F45) - COUNTIF(Vertices[In-Degree], "&gt;=" &amp; F46)</f>
        <v>0</v>
      </c>
      <c r="H45" s="41">
        <f t="shared" si="12"/>
        <v>1</v>
      </c>
      <c r="I45" s="42">
        <f>COUNTIF(Vertices[Out-Degree], "&gt;= " &amp; H45) - COUNTIF(Vertices[Out-Degree], "&gt;=" &amp; H46)</f>
        <v>0</v>
      </c>
      <c r="J45" s="41">
        <f t="shared" si="13"/>
        <v>0</v>
      </c>
      <c r="K45" s="42">
        <f>COUNTIF(Vertices[Betweenness Centrality], "&gt;= " &amp; J45) - COUNTIF(Vertices[Betweenness Centrality], "&gt;=" &amp; J46)</f>
        <v>0</v>
      </c>
      <c r="L45" s="41">
        <f t="shared" si="14"/>
        <v>0.56363636363636371</v>
      </c>
      <c r="M45" s="42">
        <f>COUNTIF(Vertices[Closeness Centrality], "&gt;= " &amp; L45) - COUNTIF(Vertices[Closeness Centrality], "&gt;=" &amp; L46)</f>
        <v>0</v>
      </c>
      <c r="N45" s="41">
        <f t="shared" si="15"/>
        <v>0.36161636363636346</v>
      </c>
      <c r="O45" s="42">
        <f>COUNTIF(Vertices[Eigenvector Centrality], "&gt;= " &amp; N45) - COUNTIF(Vertices[Eigenvector Centrality], "&gt;=" &amp; N46)</f>
        <v>0</v>
      </c>
      <c r="P45" s="41">
        <f t="shared" si="16"/>
        <v>1.0377838909090911</v>
      </c>
      <c r="Q45" s="42">
        <f>COUNTIF(Vertices[PageRank], "&gt;= " &amp; P45) - COUNTIF(Vertices[PageRank], "&gt;=" &amp; P46)</f>
        <v>0</v>
      </c>
      <c r="R45" s="41">
        <f t="shared" si="17"/>
        <v>0</v>
      </c>
      <c r="S45" s="46">
        <f>COUNTIF(Vertices[Clustering Coefficient], "&gt;= " &amp; R45) - COUNTIF(Vertices[Clustering Coefficient], "&gt;=" &amp; R46)</f>
        <v>0</v>
      </c>
      <c r="T45" s="41" t="e">
        <f t="shared" ca="1" si="18"/>
        <v>#REF!</v>
      </c>
      <c r="U45" s="42" t="e">
        <f t="shared" ca="1" si="0"/>
        <v>#REF!</v>
      </c>
    </row>
    <row r="46" spans="1:21" x14ac:dyDescent="0.25">
      <c r="D46" s="34">
        <f t="shared" si="10"/>
        <v>0</v>
      </c>
      <c r="E46" s="3">
        <f>COUNTIF(Vertices[Degree], "&gt;= " &amp; D46) - COUNTIF(Vertices[Degree], "&gt;=" &amp; D47)</f>
        <v>0</v>
      </c>
      <c r="F46" s="39">
        <f t="shared" si="11"/>
        <v>1.1636363636363638</v>
      </c>
      <c r="G46" s="40">
        <f>COUNTIF(Vertices[In-Degree], "&gt;= " &amp; F46) - COUNTIF(Vertices[In-Degree], "&gt;=" &amp; F47)</f>
        <v>0</v>
      </c>
      <c r="H46" s="39">
        <f t="shared" si="12"/>
        <v>1</v>
      </c>
      <c r="I46" s="40">
        <f>COUNTIF(Vertices[Out-Degree], "&gt;= " &amp; H46) - COUNTIF(Vertices[Out-Degree], "&gt;=" &amp; H47)</f>
        <v>0</v>
      </c>
      <c r="J46" s="39">
        <f t="shared" si="13"/>
        <v>0</v>
      </c>
      <c r="K46" s="40">
        <f>COUNTIF(Vertices[Betweenness Centrality], "&gt;= " &amp; J46) - COUNTIF(Vertices[Betweenness Centrality], "&gt;=" &amp; J47)</f>
        <v>0</v>
      </c>
      <c r="L46" s="39">
        <f t="shared" si="14"/>
        <v>0.5818181818181819</v>
      </c>
      <c r="M46" s="40">
        <f>COUNTIF(Vertices[Closeness Centrality], "&gt;= " &amp; L46) - COUNTIF(Vertices[Closeness Centrality], "&gt;=" &amp; L47)</f>
        <v>0</v>
      </c>
      <c r="N46" s="39">
        <f t="shared" si="15"/>
        <v>0.36969718181818162</v>
      </c>
      <c r="O46" s="40">
        <f>COUNTIF(Vertices[Eigenvector Centrality], "&gt;= " &amp; N46) - COUNTIF(Vertices[Eigenvector Centrality], "&gt;=" &amp; N47)</f>
        <v>0</v>
      </c>
      <c r="P46" s="39">
        <f t="shared" si="16"/>
        <v>1.0486271454545457</v>
      </c>
      <c r="Q46" s="40">
        <f>COUNTIF(Vertices[PageRank], "&gt;= " &amp; P46) - COUNTIF(Vertices[PageRank], "&gt;=" &amp; P47)</f>
        <v>0</v>
      </c>
      <c r="R46" s="39">
        <f t="shared" si="17"/>
        <v>0</v>
      </c>
      <c r="S46" s="45">
        <f>COUNTIF(Vertices[Clustering Coefficient], "&gt;= " &amp; R46) - COUNTIF(Vertices[Clustering Coefficient], "&gt;=" &amp; R47)</f>
        <v>0</v>
      </c>
      <c r="T46" s="39" t="e">
        <f t="shared" ca="1" si="18"/>
        <v>#REF!</v>
      </c>
      <c r="U46" s="40" t="e">
        <f t="shared" ca="1" si="0"/>
        <v>#REF!</v>
      </c>
    </row>
    <row r="47" spans="1:21" x14ac:dyDescent="0.25">
      <c r="D47" s="34">
        <f t="shared" si="10"/>
        <v>0</v>
      </c>
      <c r="E47" s="3">
        <f>COUNTIF(Vertices[Degree], "&gt;= " &amp; D47) - COUNTIF(Vertices[Degree], "&gt;=" &amp; D48)</f>
        <v>0</v>
      </c>
      <c r="F47" s="41">
        <f t="shared" si="11"/>
        <v>1.2000000000000002</v>
      </c>
      <c r="G47" s="42">
        <f>COUNTIF(Vertices[In-Degree], "&gt;= " &amp; F47) - COUNTIF(Vertices[In-Degree], "&gt;=" &amp; F48)</f>
        <v>0</v>
      </c>
      <c r="H47" s="41">
        <f t="shared" si="12"/>
        <v>1</v>
      </c>
      <c r="I47" s="42">
        <f>COUNTIF(Vertices[Out-Degree], "&gt;= " &amp; H47) - COUNTIF(Vertices[Out-Degree], "&gt;=" &amp; H48)</f>
        <v>0</v>
      </c>
      <c r="J47" s="41">
        <f t="shared" si="13"/>
        <v>0</v>
      </c>
      <c r="K47" s="42">
        <f>COUNTIF(Vertices[Betweenness Centrality], "&gt;= " &amp; J47) - COUNTIF(Vertices[Betweenness Centrality], "&gt;=" &amp; J48)</f>
        <v>0</v>
      </c>
      <c r="L47" s="41">
        <f t="shared" si="14"/>
        <v>0.60000000000000009</v>
      </c>
      <c r="M47" s="42">
        <f>COUNTIF(Vertices[Closeness Centrality], "&gt;= " &amp; L47) - COUNTIF(Vertices[Closeness Centrality], "&gt;=" &amp; L48)</f>
        <v>0</v>
      </c>
      <c r="N47" s="41">
        <f t="shared" si="15"/>
        <v>0.37777799999999978</v>
      </c>
      <c r="O47" s="42">
        <f>COUNTIF(Vertices[Eigenvector Centrality], "&gt;= " &amp; N47) - COUNTIF(Vertices[Eigenvector Centrality], "&gt;=" &amp; N48)</f>
        <v>0</v>
      </c>
      <c r="P47" s="41">
        <f t="shared" si="16"/>
        <v>1.0594704000000004</v>
      </c>
      <c r="Q47" s="42">
        <f>COUNTIF(Vertices[PageRank], "&gt;= " &amp; P47) - COUNTIF(Vertices[PageRank], "&gt;=" &amp; P48)</f>
        <v>0</v>
      </c>
      <c r="R47" s="41">
        <f t="shared" si="17"/>
        <v>0</v>
      </c>
      <c r="S47" s="46">
        <f>COUNTIF(Vertices[Clustering Coefficient], "&gt;= " &amp; R47) - COUNTIF(Vertices[Clustering Coefficient], "&gt;=" &amp; R48)</f>
        <v>0</v>
      </c>
      <c r="T47" s="41" t="e">
        <f t="shared" ca="1" si="18"/>
        <v>#REF!</v>
      </c>
      <c r="U47" s="42" t="e">
        <f t="shared" ca="1" si="0"/>
        <v>#REF!</v>
      </c>
    </row>
    <row r="48" spans="1:21" x14ac:dyDescent="0.25">
      <c r="D48" s="34">
        <f t="shared" si="10"/>
        <v>0</v>
      </c>
      <c r="E48" s="3">
        <f>COUNTIF(Vertices[Degree], "&gt;= " &amp; D48) - COUNTIF(Vertices[Degree], "&gt;=" &amp; D49)</f>
        <v>0</v>
      </c>
      <c r="F48" s="39">
        <f t="shared" si="11"/>
        <v>1.2363636363636366</v>
      </c>
      <c r="G48" s="40">
        <f>COUNTIF(Vertices[In-Degree], "&gt;= " &amp; F48) - COUNTIF(Vertices[In-Degree], "&gt;=" &amp; F49)</f>
        <v>0</v>
      </c>
      <c r="H48" s="39">
        <f t="shared" si="12"/>
        <v>1</v>
      </c>
      <c r="I48" s="40">
        <f>COUNTIF(Vertices[Out-Degree], "&gt;= " &amp; H48) - COUNTIF(Vertices[Out-Degree], "&gt;=" &amp; H49)</f>
        <v>0</v>
      </c>
      <c r="J48" s="39">
        <f t="shared" si="13"/>
        <v>0</v>
      </c>
      <c r="K48" s="40">
        <f>COUNTIF(Vertices[Betweenness Centrality], "&gt;= " &amp; J48) - COUNTIF(Vertices[Betweenness Centrality], "&gt;=" &amp; J49)</f>
        <v>0</v>
      </c>
      <c r="L48" s="39">
        <f t="shared" si="14"/>
        <v>0.61818181818181828</v>
      </c>
      <c r="M48" s="40">
        <f>COUNTIF(Vertices[Closeness Centrality], "&gt;= " &amp; L48) - COUNTIF(Vertices[Closeness Centrality], "&gt;=" &amp; L49)</f>
        <v>0</v>
      </c>
      <c r="N48" s="39">
        <f t="shared" si="15"/>
        <v>0.38585881818181794</v>
      </c>
      <c r="O48" s="40">
        <f>COUNTIF(Vertices[Eigenvector Centrality], "&gt;= " &amp; N48) - COUNTIF(Vertices[Eigenvector Centrality], "&gt;=" &amp; N49)</f>
        <v>0</v>
      </c>
      <c r="P48" s="39">
        <f t="shared" si="16"/>
        <v>1.070313654545455</v>
      </c>
      <c r="Q48" s="40">
        <f>COUNTIF(Vertices[PageRank], "&gt;= " &amp; P48) - COUNTIF(Vertices[PageRank], "&gt;=" &amp; P49)</f>
        <v>0</v>
      </c>
      <c r="R48" s="39">
        <f t="shared" si="17"/>
        <v>0</v>
      </c>
      <c r="S48" s="45">
        <f>COUNTIF(Vertices[Clustering Coefficient], "&gt;= " &amp; R48) - COUNTIF(Vertices[Clustering Coefficient], "&gt;=" &amp; R49)</f>
        <v>0</v>
      </c>
      <c r="T48" s="39" t="e">
        <f t="shared" ca="1" si="18"/>
        <v>#REF!</v>
      </c>
      <c r="U48" s="40" t="e">
        <f t="shared" ca="1" si="0"/>
        <v>#REF!</v>
      </c>
    </row>
    <row r="49" spans="1:21" x14ac:dyDescent="0.25">
      <c r="D49" s="34">
        <f t="shared" si="10"/>
        <v>0</v>
      </c>
      <c r="E49" s="3">
        <f>COUNTIF(Vertices[Degree], "&gt;= " &amp; D49) - COUNTIF(Vertices[Degree], "&gt;=" &amp; D50)</f>
        <v>0</v>
      </c>
      <c r="F49" s="41">
        <f t="shared" si="11"/>
        <v>1.2727272727272729</v>
      </c>
      <c r="G49" s="42">
        <f>COUNTIF(Vertices[In-Degree], "&gt;= " &amp; F49) - COUNTIF(Vertices[In-Degree], "&gt;=" &amp; F50)</f>
        <v>0</v>
      </c>
      <c r="H49" s="41">
        <f t="shared" si="12"/>
        <v>1</v>
      </c>
      <c r="I49" s="42">
        <f>COUNTIF(Vertices[Out-Degree], "&gt;= " &amp; H49) - COUNTIF(Vertices[Out-Degree], "&gt;=" &amp; H50)</f>
        <v>0</v>
      </c>
      <c r="J49" s="41">
        <f t="shared" si="13"/>
        <v>0</v>
      </c>
      <c r="K49" s="42">
        <f>COUNTIF(Vertices[Betweenness Centrality], "&gt;= " &amp; J49) - COUNTIF(Vertices[Betweenness Centrality], "&gt;=" &amp; J50)</f>
        <v>0</v>
      </c>
      <c r="L49" s="41">
        <f t="shared" si="14"/>
        <v>0.63636363636363646</v>
      </c>
      <c r="M49" s="42">
        <f>COUNTIF(Vertices[Closeness Centrality], "&gt;= " &amp; L49) - COUNTIF(Vertices[Closeness Centrality], "&gt;=" &amp; L50)</f>
        <v>0</v>
      </c>
      <c r="N49" s="41">
        <f t="shared" si="15"/>
        <v>0.3939396363636361</v>
      </c>
      <c r="O49" s="42">
        <f>COUNTIF(Vertices[Eigenvector Centrality], "&gt;= " &amp; N49) - COUNTIF(Vertices[Eigenvector Centrality], "&gt;=" &amp; N50)</f>
        <v>0</v>
      </c>
      <c r="P49" s="41">
        <f t="shared" si="16"/>
        <v>1.0811569090909097</v>
      </c>
      <c r="Q49" s="42">
        <f>COUNTIF(Vertices[PageRank], "&gt;= " &amp; P49) - COUNTIF(Vertices[PageRank], "&gt;=" &amp; P50)</f>
        <v>0</v>
      </c>
      <c r="R49" s="41">
        <f t="shared" si="17"/>
        <v>0</v>
      </c>
      <c r="S49" s="46">
        <f>COUNTIF(Vertices[Clustering Coefficient], "&gt;= " &amp; R49) - COUNTIF(Vertices[Clustering Coefficient], "&gt;=" &amp; R50)</f>
        <v>0</v>
      </c>
      <c r="T49" s="41" t="e">
        <f t="shared" ca="1" si="18"/>
        <v>#REF!</v>
      </c>
      <c r="U49" s="42" t="e">
        <f t="shared" ca="1" si="0"/>
        <v>#REF!</v>
      </c>
    </row>
    <row r="50" spans="1:21" x14ac:dyDescent="0.25">
      <c r="D50" s="34">
        <f t="shared" si="10"/>
        <v>0</v>
      </c>
      <c r="E50" s="3">
        <f>COUNTIF(Vertices[Degree], "&gt;= " &amp; D50) - COUNTIF(Vertices[Degree], "&gt;=" &amp; D51)</f>
        <v>0</v>
      </c>
      <c r="F50" s="39">
        <f t="shared" si="11"/>
        <v>1.3090909090909093</v>
      </c>
      <c r="G50" s="40">
        <f>COUNTIF(Vertices[In-Degree], "&gt;= " &amp; F50) - COUNTIF(Vertices[In-Degree], "&gt;=" &amp; F51)</f>
        <v>0</v>
      </c>
      <c r="H50" s="39">
        <f t="shared" si="12"/>
        <v>1</v>
      </c>
      <c r="I50" s="40">
        <f>COUNTIF(Vertices[Out-Degree], "&gt;= " &amp; H50) - COUNTIF(Vertices[Out-Degree], "&gt;=" &amp; H51)</f>
        <v>0</v>
      </c>
      <c r="J50" s="39">
        <f t="shared" si="13"/>
        <v>0</v>
      </c>
      <c r="K50" s="40">
        <f>COUNTIF(Vertices[Betweenness Centrality], "&gt;= " &amp; J50) - COUNTIF(Vertices[Betweenness Centrality], "&gt;=" &amp; J51)</f>
        <v>0</v>
      </c>
      <c r="L50" s="39">
        <f t="shared" si="14"/>
        <v>0.65454545454545465</v>
      </c>
      <c r="M50" s="40">
        <f>COUNTIF(Vertices[Closeness Centrality], "&gt;= " &amp; L50) - COUNTIF(Vertices[Closeness Centrality], "&gt;=" &amp; L51)</f>
        <v>0</v>
      </c>
      <c r="N50" s="39">
        <f t="shared" si="15"/>
        <v>0.40202045454545426</v>
      </c>
      <c r="O50" s="40">
        <f>COUNTIF(Vertices[Eigenvector Centrality], "&gt;= " &amp; N50) - COUNTIF(Vertices[Eigenvector Centrality], "&gt;=" &amp; N51)</f>
        <v>0</v>
      </c>
      <c r="P50" s="39">
        <f t="shared" si="16"/>
        <v>1.0920001636363643</v>
      </c>
      <c r="Q50" s="40">
        <f>COUNTIF(Vertices[PageRank], "&gt;= " &amp; P50) - COUNTIF(Vertices[PageRank], "&gt;=" &amp; P51)</f>
        <v>0</v>
      </c>
      <c r="R50" s="39">
        <f t="shared" si="17"/>
        <v>0</v>
      </c>
      <c r="S50" s="45">
        <f>COUNTIF(Vertices[Clustering Coefficient], "&gt;= " &amp; R50) - COUNTIF(Vertices[Clustering Coefficient], "&gt;=" &amp; R51)</f>
        <v>0</v>
      </c>
      <c r="T50" s="39" t="e">
        <f t="shared" ca="1" si="18"/>
        <v>#REF!</v>
      </c>
      <c r="U50" s="40" t="e">
        <f t="shared" ca="1" si="0"/>
        <v>#REF!</v>
      </c>
    </row>
    <row r="51" spans="1:21" x14ac:dyDescent="0.25">
      <c r="D51" s="34">
        <f t="shared" si="10"/>
        <v>0</v>
      </c>
      <c r="E51" s="3">
        <f>COUNTIF(Vertices[Degree], "&gt;= " &amp; D51) - COUNTIF(Vertices[Degree], "&gt;=" &amp; D52)</f>
        <v>0</v>
      </c>
      <c r="F51" s="41">
        <f t="shared" si="11"/>
        <v>1.3454545454545457</v>
      </c>
      <c r="G51" s="42">
        <f>COUNTIF(Vertices[In-Degree], "&gt;= " &amp; F51) - COUNTIF(Vertices[In-Degree], "&gt;=" &amp; F52)</f>
        <v>0</v>
      </c>
      <c r="H51" s="41">
        <f t="shared" si="12"/>
        <v>1</v>
      </c>
      <c r="I51" s="42">
        <f>COUNTIF(Vertices[Out-Degree], "&gt;= " &amp; H51) - COUNTIF(Vertices[Out-Degree], "&gt;=" &amp; H52)</f>
        <v>0</v>
      </c>
      <c r="J51" s="41">
        <f t="shared" si="13"/>
        <v>0</v>
      </c>
      <c r="K51" s="42">
        <f>COUNTIF(Vertices[Betweenness Centrality], "&gt;= " &amp; J51) - COUNTIF(Vertices[Betweenness Centrality], "&gt;=" &amp; J52)</f>
        <v>0</v>
      </c>
      <c r="L51" s="41">
        <f t="shared" si="14"/>
        <v>0.67272727272727284</v>
      </c>
      <c r="M51" s="42">
        <f>COUNTIF(Vertices[Closeness Centrality], "&gt;= " &amp; L51) - COUNTIF(Vertices[Closeness Centrality], "&gt;=" &amp; L52)</f>
        <v>0</v>
      </c>
      <c r="N51" s="41">
        <f t="shared" si="15"/>
        <v>0.41010127272727243</v>
      </c>
      <c r="O51" s="42">
        <f>COUNTIF(Vertices[Eigenvector Centrality], "&gt;= " &amp; N51) - COUNTIF(Vertices[Eigenvector Centrality], "&gt;=" &amp; N52)</f>
        <v>0</v>
      </c>
      <c r="P51" s="41">
        <f t="shared" si="16"/>
        <v>1.102843418181819</v>
      </c>
      <c r="Q51" s="42">
        <f>COUNTIF(Vertices[PageRank], "&gt;= " &amp; P51) - COUNTIF(Vertices[PageRank], "&gt;=" &amp; P52)</f>
        <v>0</v>
      </c>
      <c r="R51" s="41">
        <f t="shared" si="17"/>
        <v>0</v>
      </c>
      <c r="S51" s="46">
        <f>COUNTIF(Vertices[Clustering Coefficient], "&gt;= " &amp; R51) - COUNTIF(Vertices[Clustering Coefficient], "&gt;=" &amp; R52)</f>
        <v>0</v>
      </c>
      <c r="T51" s="41" t="e">
        <f t="shared" ca="1" si="18"/>
        <v>#REF!</v>
      </c>
      <c r="U51" s="42" t="e">
        <f t="shared" ca="1" si="0"/>
        <v>#REF!</v>
      </c>
    </row>
    <row r="52" spans="1:21" x14ac:dyDescent="0.25">
      <c r="D52" s="34">
        <f t="shared" si="10"/>
        <v>0</v>
      </c>
      <c r="E52" s="3">
        <f>COUNTIF(Vertices[Degree], "&gt;= " &amp; D52) - COUNTIF(Vertices[Degree], "&gt;=" &amp; D53)</f>
        <v>0</v>
      </c>
      <c r="F52" s="39">
        <f t="shared" si="11"/>
        <v>1.3818181818181821</v>
      </c>
      <c r="G52" s="40">
        <f>COUNTIF(Vertices[In-Degree], "&gt;= " &amp; F52) - COUNTIF(Vertices[In-Degree], "&gt;=" &amp; F53)</f>
        <v>0</v>
      </c>
      <c r="H52" s="39">
        <f t="shared" si="12"/>
        <v>1</v>
      </c>
      <c r="I52" s="40">
        <f>COUNTIF(Vertices[Out-Degree], "&gt;= " &amp; H52) - COUNTIF(Vertices[Out-Degree], "&gt;=" &amp; H53)</f>
        <v>0</v>
      </c>
      <c r="J52" s="39">
        <f t="shared" si="13"/>
        <v>0</v>
      </c>
      <c r="K52" s="40">
        <f>COUNTIF(Vertices[Betweenness Centrality], "&gt;= " &amp; J52) - COUNTIF(Vertices[Betweenness Centrality], "&gt;=" &amp; J53)</f>
        <v>0</v>
      </c>
      <c r="L52" s="39">
        <f t="shared" si="14"/>
        <v>0.69090909090909103</v>
      </c>
      <c r="M52" s="40">
        <f>COUNTIF(Vertices[Closeness Centrality], "&gt;= " &amp; L52) - COUNTIF(Vertices[Closeness Centrality], "&gt;=" &amp; L53)</f>
        <v>0</v>
      </c>
      <c r="N52" s="39">
        <f t="shared" si="15"/>
        <v>0.41818209090909059</v>
      </c>
      <c r="O52" s="40">
        <f>COUNTIF(Vertices[Eigenvector Centrality], "&gt;= " &amp; N52) - COUNTIF(Vertices[Eigenvector Centrality], "&gt;=" &amp; N53)</f>
        <v>0</v>
      </c>
      <c r="P52" s="39">
        <f t="shared" si="16"/>
        <v>1.1136866727272736</v>
      </c>
      <c r="Q52" s="40">
        <f>COUNTIF(Vertices[PageRank], "&gt;= " &amp; P52) - COUNTIF(Vertices[PageRank], "&gt;=" &amp; P53)</f>
        <v>0</v>
      </c>
      <c r="R52" s="39">
        <f t="shared" si="17"/>
        <v>0</v>
      </c>
      <c r="S52" s="45">
        <f>COUNTIF(Vertices[Clustering Coefficient], "&gt;= " &amp; R52) - COUNTIF(Vertices[Clustering Coefficient], "&gt;=" &amp; R53)</f>
        <v>0</v>
      </c>
      <c r="T52" s="39" t="e">
        <f t="shared" ca="1" si="18"/>
        <v>#REF!</v>
      </c>
      <c r="U52" s="40" t="e">
        <f t="shared" ca="1" si="0"/>
        <v>#REF!</v>
      </c>
    </row>
    <row r="53" spans="1:21" x14ac:dyDescent="0.25">
      <c r="D53" s="34">
        <f t="shared" si="10"/>
        <v>0</v>
      </c>
      <c r="E53" s="3">
        <f>COUNTIF(Vertices[Degree], "&gt;= " &amp; D53) - COUNTIF(Vertices[Degree], "&gt;=" &amp; D54)</f>
        <v>0</v>
      </c>
      <c r="F53" s="41">
        <f t="shared" si="11"/>
        <v>1.4181818181818184</v>
      </c>
      <c r="G53" s="42">
        <f>COUNTIF(Vertices[In-Degree], "&gt;= " &amp; F53) - COUNTIF(Vertices[In-Degree], "&gt;=" &amp; F54)</f>
        <v>0</v>
      </c>
      <c r="H53" s="41">
        <f t="shared" si="12"/>
        <v>1</v>
      </c>
      <c r="I53" s="42">
        <f>COUNTIF(Vertices[Out-Degree], "&gt;= " &amp; H53) - COUNTIF(Vertices[Out-Degree], "&gt;=" &amp; H54)</f>
        <v>0</v>
      </c>
      <c r="J53" s="41">
        <f t="shared" si="13"/>
        <v>0</v>
      </c>
      <c r="K53" s="42">
        <f>COUNTIF(Vertices[Betweenness Centrality], "&gt;= " &amp; J53) - COUNTIF(Vertices[Betweenness Centrality], "&gt;=" &amp; J54)</f>
        <v>0</v>
      </c>
      <c r="L53" s="41">
        <f t="shared" si="14"/>
        <v>0.70909090909090922</v>
      </c>
      <c r="M53" s="42">
        <f>COUNTIF(Vertices[Closeness Centrality], "&gt;= " &amp; L53) - COUNTIF(Vertices[Closeness Centrality], "&gt;=" &amp; L54)</f>
        <v>0</v>
      </c>
      <c r="N53" s="41">
        <f t="shared" si="15"/>
        <v>0.42626290909090875</v>
      </c>
      <c r="O53" s="42">
        <f>COUNTIF(Vertices[Eigenvector Centrality], "&gt;= " &amp; N53) - COUNTIF(Vertices[Eigenvector Centrality], "&gt;=" &amp; N54)</f>
        <v>0</v>
      </c>
      <c r="P53" s="41">
        <f t="shared" si="16"/>
        <v>1.1245299272727283</v>
      </c>
      <c r="Q53" s="42">
        <f>COUNTIF(Vertices[PageRank], "&gt;= " &amp; P53) - COUNTIF(Vertices[PageRank], "&gt;=" &amp; P54)</f>
        <v>0</v>
      </c>
      <c r="R53" s="41">
        <f t="shared" si="17"/>
        <v>0</v>
      </c>
      <c r="S53" s="46">
        <f>COUNTIF(Vertices[Clustering Coefficient], "&gt;= " &amp; R53) - COUNTIF(Vertices[Clustering Coefficient], "&gt;=" &amp; R54)</f>
        <v>0</v>
      </c>
      <c r="T53" s="41" t="e">
        <f t="shared" ca="1" si="18"/>
        <v>#REF!</v>
      </c>
      <c r="U53" s="42" t="e">
        <f t="shared" ca="1" si="0"/>
        <v>#REF!</v>
      </c>
    </row>
    <row r="54" spans="1:21" x14ac:dyDescent="0.25">
      <c r="D54" s="34">
        <f t="shared" si="10"/>
        <v>0</v>
      </c>
      <c r="E54" s="3">
        <f>COUNTIF(Vertices[Degree], "&gt;= " &amp; D54) - COUNTIF(Vertices[Degree], "&gt;=" &amp; D55)</f>
        <v>0</v>
      </c>
      <c r="F54" s="39">
        <f t="shared" si="11"/>
        <v>1.4545454545454548</v>
      </c>
      <c r="G54" s="40">
        <f>COUNTIF(Vertices[In-Degree], "&gt;= " &amp; F54) - COUNTIF(Vertices[In-Degree], "&gt;=" &amp; F55)</f>
        <v>0</v>
      </c>
      <c r="H54" s="39">
        <f t="shared" si="12"/>
        <v>1</v>
      </c>
      <c r="I54" s="40">
        <f>COUNTIF(Vertices[Out-Degree], "&gt;= " &amp; H54) - COUNTIF(Vertices[Out-Degree], "&gt;=" &amp; H55)</f>
        <v>0</v>
      </c>
      <c r="J54" s="39">
        <f t="shared" si="13"/>
        <v>0</v>
      </c>
      <c r="K54" s="40">
        <f>COUNTIF(Vertices[Betweenness Centrality], "&gt;= " &amp; J54) - COUNTIF(Vertices[Betweenness Centrality], "&gt;=" &amp; J55)</f>
        <v>0</v>
      </c>
      <c r="L54" s="39">
        <f t="shared" si="14"/>
        <v>0.7272727272727274</v>
      </c>
      <c r="M54" s="40">
        <f>COUNTIF(Vertices[Closeness Centrality], "&gt;= " &amp; L54) - COUNTIF(Vertices[Closeness Centrality], "&gt;=" &amp; L55)</f>
        <v>0</v>
      </c>
      <c r="N54" s="39">
        <f t="shared" si="15"/>
        <v>0.43434372727272691</v>
      </c>
      <c r="O54" s="40">
        <f>COUNTIF(Vertices[Eigenvector Centrality], "&gt;= " &amp; N54) - COUNTIF(Vertices[Eigenvector Centrality], "&gt;=" &amp; N55)</f>
        <v>0</v>
      </c>
      <c r="P54" s="39">
        <f t="shared" si="16"/>
        <v>1.1353731818181829</v>
      </c>
      <c r="Q54" s="40">
        <f>COUNTIF(Vertices[PageRank], "&gt;= " &amp; P54) - COUNTIF(Vertices[PageRank], "&gt;=" &amp; P55)</f>
        <v>0</v>
      </c>
      <c r="R54" s="39">
        <f t="shared" si="17"/>
        <v>0</v>
      </c>
      <c r="S54" s="45">
        <f>COUNTIF(Vertices[Clustering Coefficient], "&gt;= " &amp; R54) - COUNTIF(Vertices[Clustering Coefficient], "&gt;=" &amp; R55)</f>
        <v>0</v>
      </c>
      <c r="T54" s="39" t="e">
        <f t="shared" ca="1" si="18"/>
        <v>#REF!</v>
      </c>
      <c r="U54" s="40" t="e">
        <f t="shared" ca="1" si="0"/>
        <v>#REF!</v>
      </c>
    </row>
    <row r="55" spans="1:21" x14ac:dyDescent="0.25">
      <c r="A55" s="35" t="s">
        <v>81</v>
      </c>
      <c r="B55" s="48" t="str">
        <f>IF(COUNT(Vertices[Degree])&gt;0, D2, NoMetricMessage)</f>
        <v>Not Available</v>
      </c>
      <c r="D55" s="34">
        <f t="shared" si="10"/>
        <v>0</v>
      </c>
      <c r="E55" s="3">
        <f>COUNTIF(Vertices[Degree], "&gt;= " &amp; D55) - COUNTIF(Vertices[Degree], "&gt;=" &amp; D56)</f>
        <v>0</v>
      </c>
      <c r="F55" s="41">
        <f t="shared" si="11"/>
        <v>1.4909090909090912</v>
      </c>
      <c r="G55" s="42">
        <f>COUNTIF(Vertices[In-Degree], "&gt;= " &amp; F55) - COUNTIF(Vertices[In-Degree], "&gt;=" &amp; F56)</f>
        <v>0</v>
      </c>
      <c r="H55" s="41">
        <f t="shared" si="12"/>
        <v>1</v>
      </c>
      <c r="I55" s="42">
        <f>COUNTIF(Vertices[Out-Degree], "&gt;= " &amp; H55) - COUNTIF(Vertices[Out-Degree], "&gt;=" &amp; H56)</f>
        <v>0</v>
      </c>
      <c r="J55" s="41">
        <f t="shared" si="13"/>
        <v>0</v>
      </c>
      <c r="K55" s="42">
        <f>COUNTIF(Vertices[Betweenness Centrality], "&gt;= " &amp; J55) - COUNTIF(Vertices[Betweenness Centrality], "&gt;=" &amp; J56)</f>
        <v>0</v>
      </c>
      <c r="L55" s="41">
        <f t="shared" si="14"/>
        <v>0.74545454545454559</v>
      </c>
      <c r="M55" s="42">
        <f>COUNTIF(Vertices[Closeness Centrality], "&gt;= " &amp; L55) - COUNTIF(Vertices[Closeness Centrality], "&gt;=" &amp; L56)</f>
        <v>0</v>
      </c>
      <c r="N55" s="41">
        <f t="shared" si="15"/>
        <v>0.44242454545454507</v>
      </c>
      <c r="O55" s="42">
        <f>COUNTIF(Vertices[Eigenvector Centrality], "&gt;= " &amp; N55) - COUNTIF(Vertices[Eigenvector Centrality], "&gt;=" &amp; N56)</f>
        <v>0</v>
      </c>
      <c r="P55" s="41">
        <f t="shared" si="16"/>
        <v>1.1462164363636376</v>
      </c>
      <c r="Q55" s="42">
        <f>COUNTIF(Vertices[PageRank], "&gt;= " &amp; P55) - COUNTIF(Vertices[PageRank], "&gt;=" &amp; P56)</f>
        <v>0</v>
      </c>
      <c r="R55" s="41">
        <f t="shared" si="17"/>
        <v>0</v>
      </c>
      <c r="S55" s="46">
        <f>COUNTIF(Vertices[Clustering Coefficient], "&gt;= " &amp; R55) - COUNTIF(Vertices[Clustering Coefficient], "&gt;=" &amp; R56)</f>
        <v>0</v>
      </c>
      <c r="T55" s="41" t="e">
        <f t="shared" ca="1" si="18"/>
        <v>#REF!</v>
      </c>
      <c r="U55" s="42" t="e">
        <f t="shared" ca="1" si="0"/>
        <v>#REF!</v>
      </c>
    </row>
    <row r="56" spans="1:21" x14ac:dyDescent="0.25">
      <c r="A56" s="35" t="s">
        <v>82</v>
      </c>
      <c r="B56" s="48" t="str">
        <f>IF(COUNT(Vertices[Degree])&gt;0, D57, NoMetricMessage)</f>
        <v>Not Available</v>
      </c>
      <c r="D56" s="34">
        <f t="shared" si="10"/>
        <v>0</v>
      </c>
      <c r="E56" s="3">
        <f>COUNTIF(Vertices[Degree], "&gt;= " &amp; D56) - COUNTIF(Vertices[Degree], "&gt;=" &amp; D57)</f>
        <v>0</v>
      </c>
      <c r="F56" s="39">
        <f t="shared" si="11"/>
        <v>1.5272727272727276</v>
      </c>
      <c r="G56" s="40">
        <f>COUNTIF(Vertices[In-Degree], "&gt;= " &amp; F56) - COUNTIF(Vertices[In-Degree], "&gt;=" &amp; F57)</f>
        <v>0</v>
      </c>
      <c r="H56" s="39">
        <f t="shared" si="12"/>
        <v>1</v>
      </c>
      <c r="I56" s="40">
        <f>COUNTIF(Vertices[Out-Degree], "&gt;= " &amp; H56) - COUNTIF(Vertices[Out-Degree], "&gt;=" &amp; H57)</f>
        <v>0</v>
      </c>
      <c r="J56" s="39">
        <f t="shared" si="13"/>
        <v>0</v>
      </c>
      <c r="K56" s="40">
        <f>COUNTIF(Vertices[Betweenness Centrality], "&gt;= " &amp; J56) - COUNTIF(Vertices[Betweenness Centrality], "&gt;=" &amp; J57)</f>
        <v>0</v>
      </c>
      <c r="L56" s="39">
        <f t="shared" si="14"/>
        <v>0.76363636363636378</v>
      </c>
      <c r="M56" s="40">
        <f>COUNTIF(Vertices[Closeness Centrality], "&gt;= " &amp; L56) - COUNTIF(Vertices[Closeness Centrality], "&gt;=" &amp; L57)</f>
        <v>0</v>
      </c>
      <c r="N56" s="39">
        <f t="shared" si="15"/>
        <v>0.45050536363636323</v>
      </c>
      <c r="O56" s="40">
        <f>COUNTIF(Vertices[Eigenvector Centrality], "&gt;= " &amp; N56) - COUNTIF(Vertices[Eigenvector Centrality], "&gt;=" &amp; N57)</f>
        <v>0</v>
      </c>
      <c r="P56" s="39">
        <f t="shared" si="16"/>
        <v>1.1570596909090922</v>
      </c>
      <c r="Q56" s="40">
        <f>COUNTIF(Vertices[PageRank], "&gt;= " &amp; P56) - COUNTIF(Vertices[PageRank], "&gt;=" &amp; P57)</f>
        <v>0</v>
      </c>
      <c r="R56" s="39">
        <f t="shared" si="17"/>
        <v>0</v>
      </c>
      <c r="S56" s="45">
        <f>COUNTIF(Vertices[Clustering Coefficient], "&gt;= " &amp; R56) - COUNTIF(Vertices[Clustering Coefficient], "&gt;=" &amp; R57)</f>
        <v>0</v>
      </c>
      <c r="T56" s="39" t="e">
        <f t="shared" ca="1" si="18"/>
        <v>#REF!</v>
      </c>
      <c r="U56" s="40" t="e">
        <f t="shared" ca="1" si="0"/>
        <v>#REF!</v>
      </c>
    </row>
    <row r="57" spans="1:21" x14ac:dyDescent="0.25">
      <c r="A57" s="35" t="s">
        <v>83</v>
      </c>
      <c r="B57" s="49" t="str">
        <f>IFERROR(AVERAGE(Vertices[Degree]),NoMetricMessage)</f>
        <v>Not Available</v>
      </c>
      <c r="D57" s="34">
        <f>MAX(Vertices[Degree])</f>
        <v>0</v>
      </c>
      <c r="E57" s="3">
        <f>COUNTIF(Vertices[Degree], "&gt;= " &amp; D57) - COUNTIF(Vertices[Degree], "&gt;=" &amp; D58)</f>
        <v>0</v>
      </c>
      <c r="F57" s="43">
        <f>MAX(Vertices[In-Degree])</f>
        <v>2</v>
      </c>
      <c r="G57" s="44">
        <f>COUNTIF(Vertices[In-Degree], "&gt;= " &amp; F57) - COUNTIF(Vertices[In-Degree], "&gt;=" &amp; F58)</f>
        <v>1</v>
      </c>
      <c r="H57" s="43">
        <f>MAX(Vertices[Out-Degree])</f>
        <v>1</v>
      </c>
      <c r="I57" s="44">
        <f>COUNTIF(Vertices[Out-Degree], "&gt;= " &amp; H57) - COUNTIF(Vertices[Out-Degree], "&gt;=" &amp; H58)</f>
        <v>3</v>
      </c>
      <c r="J57" s="43">
        <f>MAX(Vertices[Betweenness Centrality])</f>
        <v>0</v>
      </c>
      <c r="K57" s="44">
        <f>COUNTIF(Vertices[Betweenness Centrality], "&gt;= " &amp; J57) - COUNTIF(Vertices[Betweenness Centrality], "&gt;=" &amp; J58)</f>
        <v>3</v>
      </c>
      <c r="L57" s="43">
        <f>MAX(Vertices[Closeness Centrality])</f>
        <v>1</v>
      </c>
      <c r="M57" s="44">
        <f>COUNTIF(Vertices[Closeness Centrality], "&gt;= " &amp; L57) - COUNTIF(Vertices[Closeness Centrality], "&gt;=" &amp; L58)</f>
        <v>2</v>
      </c>
      <c r="N57" s="43">
        <f>MAX(Vertices[Eigenvector Centrality])</f>
        <v>0.55555600000000005</v>
      </c>
      <c r="O57" s="44">
        <f>COUNTIF(Vertices[Eigenvector Centrality], "&gt;= " &amp; N57) - COUNTIF(Vertices[Eigenvector Centrality], "&gt;=" &amp; N58)</f>
        <v>1</v>
      </c>
      <c r="P57" s="43">
        <f>MAX(Vertices[PageRank])</f>
        <v>1.298022</v>
      </c>
      <c r="Q57" s="44">
        <f>COUNTIF(Vertices[PageRank], "&gt;= " &amp; P57) - COUNTIF(Vertices[PageRank], "&gt;=" &amp; P58)</f>
        <v>1</v>
      </c>
      <c r="R57" s="43">
        <f>MAX(Vertices[Clustering Coefficient])</f>
        <v>0</v>
      </c>
      <c r="S57" s="47">
        <f>COUNTIF(Vertices[Clustering Coefficient], "&gt;= " &amp; R57) - COUNTIF(Vertices[Clustering Coefficient], "&gt;=" &amp; R58)</f>
        <v>3</v>
      </c>
      <c r="T57" s="43" t="e">
        <f ca="1">MAX(INDIRECT(DynamicFilterSourceColumnRange))</f>
        <v>#REF!</v>
      </c>
      <c r="U57" s="44" t="e">
        <f t="shared" ca="1" si="0"/>
        <v>#REF!</v>
      </c>
    </row>
    <row r="58" spans="1:21" x14ac:dyDescent="0.25">
      <c r="A58" s="35" t="s">
        <v>84</v>
      </c>
      <c r="B58" s="49" t="str">
        <f>IFERROR(MEDIAN(Vertices[Degree]),NoMetricMessage)</f>
        <v>Not Available</v>
      </c>
    </row>
    <row r="69" spans="1:2" x14ac:dyDescent="0.25">
      <c r="A69" s="35" t="s">
        <v>88</v>
      </c>
      <c r="B69" s="48">
        <f>IF(COUNT(Vertices[In-Degree])&gt;0, F2, NoMetricMessage)</f>
        <v>0</v>
      </c>
    </row>
    <row r="70" spans="1:2" x14ac:dyDescent="0.25">
      <c r="A70" s="35" t="s">
        <v>89</v>
      </c>
      <c r="B70" s="48">
        <f>IF(COUNT(Vertices[In-Degree])&gt;0, F57, NoMetricMessage)</f>
        <v>2</v>
      </c>
    </row>
    <row r="71" spans="1:2" x14ac:dyDescent="0.25">
      <c r="A71" s="35" t="s">
        <v>90</v>
      </c>
      <c r="B71" s="49">
        <f>IFERROR(AVERAGE(Vertices[In-Degree]),NoMetricMessage)</f>
        <v>1</v>
      </c>
    </row>
    <row r="72" spans="1:2" x14ac:dyDescent="0.25">
      <c r="A72" s="35" t="s">
        <v>91</v>
      </c>
      <c r="B72" s="49">
        <f>IFERROR(MEDIAN(Vertices[In-Degree]),NoMetricMessage)</f>
        <v>1</v>
      </c>
    </row>
    <row r="83" spans="1:2" x14ac:dyDescent="0.25">
      <c r="A83" s="35" t="s">
        <v>94</v>
      </c>
      <c r="B83" s="48">
        <f>IF(COUNT(Vertices[Out-Degree])&gt;0, H2, NoMetricMessage)</f>
        <v>1</v>
      </c>
    </row>
    <row r="84" spans="1:2" x14ac:dyDescent="0.25">
      <c r="A84" s="35" t="s">
        <v>95</v>
      </c>
      <c r="B84" s="48">
        <f>IF(COUNT(Vertices[Out-Degree])&gt;0, H57, NoMetricMessage)</f>
        <v>1</v>
      </c>
    </row>
    <row r="85" spans="1:2" x14ac:dyDescent="0.25">
      <c r="A85" s="35" t="s">
        <v>96</v>
      </c>
      <c r="B85" s="49">
        <f>IFERROR(AVERAGE(Vertices[Out-Degree]),NoMetricMessage)</f>
        <v>1</v>
      </c>
    </row>
    <row r="86" spans="1:2" x14ac:dyDescent="0.25">
      <c r="A86" s="35" t="s">
        <v>97</v>
      </c>
      <c r="B86" s="49">
        <f>IFERROR(MEDIAN(Vertices[Out-Degree]),NoMetricMessage)</f>
        <v>1</v>
      </c>
    </row>
    <row r="97" spans="1:2" x14ac:dyDescent="0.25">
      <c r="A97" s="35" t="s">
        <v>100</v>
      </c>
      <c r="B97" s="49">
        <f>IF(COUNT(Vertices[Betweenness Centrality])&gt;0, J2, NoMetricMessage)</f>
        <v>0</v>
      </c>
    </row>
    <row r="98" spans="1:2" x14ac:dyDescent="0.25">
      <c r="A98" s="35" t="s">
        <v>101</v>
      </c>
      <c r="B98" s="49">
        <f>IF(COUNT(Vertices[Betweenness Centrality])&gt;0, J57, NoMetricMessage)</f>
        <v>0</v>
      </c>
    </row>
    <row r="99" spans="1:2" x14ac:dyDescent="0.25">
      <c r="A99" s="35" t="s">
        <v>102</v>
      </c>
      <c r="B99" s="49">
        <f>IFERROR(AVERAGE(Vertices[Betweenness Centrality]),NoMetricMessage)</f>
        <v>0</v>
      </c>
    </row>
    <row r="100" spans="1:2" x14ac:dyDescent="0.25">
      <c r="A100" s="35" t="s">
        <v>103</v>
      </c>
      <c r="B100" s="49">
        <f>IFERROR(MEDIAN(Vertices[Betweenness Centrality]),NoMetricMessage)</f>
        <v>0</v>
      </c>
    </row>
    <row r="111" spans="1:2" x14ac:dyDescent="0.25">
      <c r="A111" s="35" t="s">
        <v>106</v>
      </c>
      <c r="B111" s="49">
        <f>IF(COUNT(Vertices[Closeness Centrality])&gt;0, L2, NoMetricMessage)</f>
        <v>0</v>
      </c>
    </row>
    <row r="112" spans="1:2" x14ac:dyDescent="0.25">
      <c r="A112" s="35" t="s">
        <v>107</v>
      </c>
      <c r="B112" s="49">
        <f>IF(COUNT(Vertices[Closeness Centrality])&gt;0, L57, NoMetricMessage)</f>
        <v>1</v>
      </c>
    </row>
    <row r="113" spans="1:2" x14ac:dyDescent="0.25">
      <c r="A113" s="35" t="s">
        <v>108</v>
      </c>
      <c r="B113" s="49">
        <f>IFERROR(AVERAGE(Vertices[Closeness Centrality]),NoMetricMessage)</f>
        <v>0.66666666666666663</v>
      </c>
    </row>
    <row r="114" spans="1:2" x14ac:dyDescent="0.25">
      <c r="A114" s="35" t="s">
        <v>109</v>
      </c>
      <c r="B114" s="49">
        <f>IFERROR(MEDIAN(Vertices[Closeness Centrality]),NoMetricMessage)</f>
        <v>1</v>
      </c>
    </row>
    <row r="125" spans="1:2" x14ac:dyDescent="0.25">
      <c r="A125" s="35" t="s">
        <v>112</v>
      </c>
      <c r="B125" s="49">
        <f>IF(COUNT(Vertices[Eigenvector Centrality])&gt;0, N2, NoMetricMessage)</f>
        <v>0.111111</v>
      </c>
    </row>
    <row r="126" spans="1:2" x14ac:dyDescent="0.25">
      <c r="A126" s="35" t="s">
        <v>113</v>
      </c>
      <c r="B126" s="49">
        <f>IF(COUNT(Vertices[Eigenvector Centrality])&gt;0, N57, NoMetricMessage)</f>
        <v>0.55555600000000005</v>
      </c>
    </row>
    <row r="127" spans="1:2" x14ac:dyDescent="0.25">
      <c r="A127" s="35" t="s">
        <v>114</v>
      </c>
      <c r="B127" s="49">
        <f>IFERROR(AVERAGE(Vertices[Eigenvector Centrality]),NoMetricMessage)</f>
        <v>0.33333333333333331</v>
      </c>
    </row>
    <row r="128" spans="1:2" x14ac:dyDescent="0.25">
      <c r="A128" s="35" t="s">
        <v>115</v>
      </c>
      <c r="B128" s="49">
        <f>IFERROR(MEDIAN(Vertices[Eigenvector Centrality]),NoMetricMessage)</f>
        <v>0.33333299999999999</v>
      </c>
    </row>
    <row r="139" spans="1:2" x14ac:dyDescent="0.25">
      <c r="A139" s="35" t="s">
        <v>140</v>
      </c>
      <c r="B139" s="49">
        <f>IF(COUNT(Vertices[PageRank])&gt;0, P2, NoMetricMessage)</f>
        <v>0.70164300000000002</v>
      </c>
    </row>
    <row r="140" spans="1:2" x14ac:dyDescent="0.25">
      <c r="A140" s="35" t="s">
        <v>141</v>
      </c>
      <c r="B140" s="49">
        <f>IF(COUNT(Vertices[PageRank])&gt;0, P57, NoMetricMessage)</f>
        <v>1.298022</v>
      </c>
    </row>
    <row r="141" spans="1:2" x14ac:dyDescent="0.25">
      <c r="A141" s="35" t="s">
        <v>142</v>
      </c>
      <c r="B141" s="49">
        <f>IFERROR(AVERAGE(Vertices[PageRank]),NoMetricMessage)</f>
        <v>0.99983233333333332</v>
      </c>
    </row>
    <row r="142" spans="1:2" x14ac:dyDescent="0.25">
      <c r="A142" s="35" t="s">
        <v>143</v>
      </c>
      <c r="B142" s="49">
        <f>IFERROR(MEDIAN(Vertices[PageRank]),NoMetricMessage)</f>
        <v>0.99983200000000005</v>
      </c>
    </row>
    <row r="153" spans="1:2" x14ac:dyDescent="0.25">
      <c r="A153" s="35" t="s">
        <v>118</v>
      </c>
      <c r="B153" s="49">
        <f>IF(COUNT(Vertices[Clustering Coefficient])&gt;0, R2, NoMetricMessage)</f>
        <v>0</v>
      </c>
    </row>
    <row r="154" spans="1:2" x14ac:dyDescent="0.25">
      <c r="A154" s="35" t="s">
        <v>119</v>
      </c>
      <c r="B154" s="49">
        <f>IF(COUNT(Vertices[Clustering Coefficient])&gt;0, R57, NoMetricMessage)</f>
        <v>0</v>
      </c>
    </row>
    <row r="155" spans="1:2" x14ac:dyDescent="0.25">
      <c r="A155" s="35" t="s">
        <v>120</v>
      </c>
      <c r="B155" s="49">
        <f>IFERROR(AVERAGE(Vertices[Clustering Coefficient]),NoMetricMessage)</f>
        <v>0</v>
      </c>
    </row>
    <row r="156" spans="1:2" x14ac:dyDescent="0.25">
      <c r="A156" s="35" t="s">
        <v>121</v>
      </c>
      <c r="B156" s="49">
        <f>IFERROR(MEDIAN(Vertices[Clustering Coefficient]),NoMetricMessage)</f>
        <v>0</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6"/>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131</v>
      </c>
      <c r="C1" s="4" t="s">
        <v>7</v>
      </c>
      <c r="D1" s="4" t="s">
        <v>9</v>
      </c>
      <c r="E1" s="4" t="s">
        <v>164</v>
      </c>
      <c r="F1" s="5" t="s">
        <v>169</v>
      </c>
      <c r="G1" s="4" t="s">
        <v>14</v>
      </c>
      <c r="H1" s="4" t="s">
        <v>67</v>
      </c>
      <c r="J1" s="4" t="s">
        <v>18</v>
      </c>
      <c r="K1" s="4" t="s">
        <v>17</v>
      </c>
      <c r="M1" s="4" t="s">
        <v>22</v>
      </c>
      <c r="N1" s="4" t="s">
        <v>23</v>
      </c>
      <c r="O1" s="4" t="s">
        <v>24</v>
      </c>
      <c r="P1" s="4" t="s">
        <v>25</v>
      </c>
    </row>
    <row r="2" spans="1:18" x14ac:dyDescent="0.25">
      <c r="A2" s="1" t="s">
        <v>51</v>
      </c>
      <c r="B2" s="1" t="s">
        <v>132</v>
      </c>
      <c r="C2" t="s">
        <v>54</v>
      </c>
      <c r="D2" t="s">
        <v>55</v>
      </c>
      <c r="E2" t="s">
        <v>55</v>
      </c>
      <c r="F2" s="1" t="s">
        <v>51</v>
      </c>
      <c r="G2" t="s">
        <v>65</v>
      </c>
      <c r="H2" t="s">
        <v>159</v>
      </c>
      <c r="J2" t="s">
        <v>19</v>
      </c>
      <c r="K2">
        <v>108</v>
      </c>
    </row>
    <row r="3" spans="1:18" x14ac:dyDescent="0.25">
      <c r="A3" s="1" t="s">
        <v>52</v>
      </c>
      <c r="B3" s="1" t="s">
        <v>133</v>
      </c>
      <c r="C3" t="s">
        <v>52</v>
      </c>
      <c r="D3" t="s">
        <v>56</v>
      </c>
      <c r="E3" t="s">
        <v>56</v>
      </c>
      <c r="F3" s="1" t="s">
        <v>52</v>
      </c>
      <c r="G3" t="s">
        <v>66</v>
      </c>
      <c r="H3" t="s">
        <v>68</v>
      </c>
      <c r="J3" t="s">
        <v>30</v>
      </c>
      <c r="K3" t="s">
        <v>280</v>
      </c>
    </row>
    <row r="4" spans="1:18" x14ac:dyDescent="0.25">
      <c r="A4" s="1" t="s">
        <v>53</v>
      </c>
      <c r="B4" s="1" t="s">
        <v>134</v>
      </c>
      <c r="C4" t="s">
        <v>53</v>
      </c>
      <c r="D4" t="s">
        <v>57</v>
      </c>
      <c r="E4" t="s">
        <v>57</v>
      </c>
      <c r="F4" s="1" t="s">
        <v>53</v>
      </c>
      <c r="G4">
        <v>0</v>
      </c>
      <c r="H4" t="s">
        <v>69</v>
      </c>
      <c r="J4" s="12" t="s">
        <v>78</v>
      </c>
      <c r="K4" s="12"/>
    </row>
    <row r="5" spans="1:18" ht="409.5" x14ac:dyDescent="0.25">
      <c r="A5">
        <v>1</v>
      </c>
      <c r="B5" s="1" t="s">
        <v>135</v>
      </c>
      <c r="C5" t="s">
        <v>51</v>
      </c>
      <c r="D5" t="s">
        <v>58</v>
      </c>
      <c r="E5" t="s">
        <v>58</v>
      </c>
      <c r="F5">
        <v>1</v>
      </c>
      <c r="G5">
        <v>1</v>
      </c>
      <c r="H5" t="s">
        <v>70</v>
      </c>
      <c r="J5" t="s">
        <v>172</v>
      </c>
      <c r="K5" s="13" t="s">
        <v>281</v>
      </c>
    </row>
    <row r="6" spans="1:18" x14ac:dyDescent="0.25">
      <c r="A6">
        <v>0</v>
      </c>
      <c r="B6" s="1" t="s">
        <v>136</v>
      </c>
      <c r="C6">
        <v>1</v>
      </c>
      <c r="D6" t="s">
        <v>59</v>
      </c>
      <c r="E6" t="s">
        <v>59</v>
      </c>
      <c r="F6">
        <v>0</v>
      </c>
      <c r="H6" t="s">
        <v>71</v>
      </c>
      <c r="J6" t="s">
        <v>173</v>
      </c>
      <c r="K6">
        <v>18</v>
      </c>
      <c r="R6" t="s">
        <v>129</v>
      </c>
    </row>
    <row r="7" spans="1:18" ht="409.5" x14ac:dyDescent="0.25">
      <c r="A7">
        <v>2</v>
      </c>
      <c r="B7">
        <v>1</v>
      </c>
      <c r="C7">
        <v>0</v>
      </c>
      <c r="D7" t="s">
        <v>60</v>
      </c>
      <c r="E7" t="s">
        <v>60</v>
      </c>
      <c r="F7">
        <v>2</v>
      </c>
      <c r="H7" t="s">
        <v>72</v>
      </c>
      <c r="J7" t="s">
        <v>282</v>
      </c>
      <c r="K7" s="13" t="s">
        <v>283</v>
      </c>
    </row>
    <row r="8" spans="1:18" ht="409.5" x14ac:dyDescent="0.25">
      <c r="A8"/>
      <c r="B8">
        <v>2</v>
      </c>
      <c r="C8">
        <v>2</v>
      </c>
      <c r="D8" t="s">
        <v>61</v>
      </c>
      <c r="E8" t="s">
        <v>61</v>
      </c>
      <c r="H8" t="s">
        <v>73</v>
      </c>
      <c r="J8" t="s">
        <v>284</v>
      </c>
      <c r="K8" s="13" t="s">
        <v>285</v>
      </c>
    </row>
    <row r="9" spans="1:18" ht="409.5" x14ac:dyDescent="0.25">
      <c r="A9"/>
      <c r="B9">
        <v>3</v>
      </c>
      <c r="C9">
        <v>4</v>
      </c>
      <c r="D9" t="s">
        <v>62</v>
      </c>
      <c r="E9" t="s">
        <v>62</v>
      </c>
      <c r="H9" t="s">
        <v>74</v>
      </c>
      <c r="J9" t="s">
        <v>286</v>
      </c>
      <c r="K9" s="13" t="s">
        <v>287</v>
      </c>
    </row>
    <row r="10" spans="1:18" ht="409.5" x14ac:dyDescent="0.25">
      <c r="A10"/>
      <c r="B10">
        <v>4</v>
      </c>
      <c r="D10" t="s">
        <v>63</v>
      </c>
      <c r="E10" t="s">
        <v>63</v>
      </c>
      <c r="H10" t="s">
        <v>75</v>
      </c>
      <c r="J10" t="s">
        <v>288</v>
      </c>
      <c r="K10" s="13" t="s">
        <v>289</v>
      </c>
    </row>
    <row r="11" spans="1:18" x14ac:dyDescent="0.25">
      <c r="A11"/>
      <c r="B11">
        <v>5</v>
      </c>
      <c r="D11" t="s">
        <v>46</v>
      </c>
      <c r="E11">
        <v>1</v>
      </c>
      <c r="H11" t="s">
        <v>76</v>
      </c>
      <c r="J11" t="s">
        <v>290</v>
      </c>
      <c r="K11" t="s">
        <v>291</v>
      </c>
    </row>
    <row r="12" spans="1:18" x14ac:dyDescent="0.25">
      <c r="A12"/>
      <c r="B12"/>
      <c r="D12" t="s">
        <v>64</v>
      </c>
      <c r="E12">
        <v>2</v>
      </c>
      <c r="H12">
        <v>0</v>
      </c>
      <c r="J12" t="s">
        <v>292</v>
      </c>
      <c r="K12" t="s">
        <v>293</v>
      </c>
    </row>
    <row r="13" spans="1:18" x14ac:dyDescent="0.25">
      <c r="A13"/>
      <c r="B13"/>
      <c r="D13">
        <v>1</v>
      </c>
      <c r="E13">
        <v>3</v>
      </c>
      <c r="H13">
        <v>1</v>
      </c>
      <c r="J13" t="s">
        <v>294</v>
      </c>
      <c r="K13" t="s">
        <v>295</v>
      </c>
    </row>
    <row r="14" spans="1:18" x14ac:dyDescent="0.25">
      <c r="D14">
        <v>2</v>
      </c>
      <c r="E14">
        <v>4</v>
      </c>
      <c r="H14">
        <v>2</v>
      </c>
      <c r="J14" t="s">
        <v>296</v>
      </c>
      <c r="K14" t="s">
        <v>297</v>
      </c>
    </row>
    <row r="15" spans="1:18" x14ac:dyDescent="0.25">
      <c r="D15">
        <v>3</v>
      </c>
      <c r="E15">
        <v>5</v>
      </c>
      <c r="H15">
        <v>3</v>
      </c>
      <c r="J15" t="s">
        <v>298</v>
      </c>
      <c r="K15" t="s">
        <v>299</v>
      </c>
    </row>
    <row r="16" spans="1:18" x14ac:dyDescent="0.25">
      <c r="D16">
        <v>4</v>
      </c>
      <c r="E16">
        <v>6</v>
      </c>
      <c r="H16">
        <v>4</v>
      </c>
      <c r="J16" t="s">
        <v>300</v>
      </c>
      <c r="K16" t="s">
        <v>301</v>
      </c>
    </row>
    <row r="17" spans="4:11" x14ac:dyDescent="0.25">
      <c r="D17">
        <v>5</v>
      </c>
      <c r="E17">
        <v>7</v>
      </c>
      <c r="H17">
        <v>5</v>
      </c>
      <c r="J17" t="s">
        <v>302</v>
      </c>
      <c r="K17" t="s">
        <v>303</v>
      </c>
    </row>
    <row r="18" spans="4:11" x14ac:dyDescent="0.25">
      <c r="D18">
        <v>6</v>
      </c>
      <c r="E18">
        <v>8</v>
      </c>
      <c r="H18">
        <v>6</v>
      </c>
      <c r="J18" t="s">
        <v>304</v>
      </c>
      <c r="K18" t="s">
        <v>305</v>
      </c>
    </row>
    <row r="19" spans="4:11" x14ac:dyDescent="0.25">
      <c r="D19">
        <v>7</v>
      </c>
      <c r="E19">
        <v>9</v>
      </c>
      <c r="H19">
        <v>7</v>
      </c>
      <c r="J19" t="s">
        <v>306</v>
      </c>
      <c r="K19" t="s">
        <v>307</v>
      </c>
    </row>
    <row r="20" spans="4:11" ht="409.5" x14ac:dyDescent="0.25">
      <c r="D20">
        <v>8</v>
      </c>
      <c r="H20">
        <v>8</v>
      </c>
      <c r="J20" t="s">
        <v>308</v>
      </c>
      <c r="K20" s="13" t="s">
        <v>309</v>
      </c>
    </row>
    <row r="21" spans="4:11" ht="409.5" x14ac:dyDescent="0.25">
      <c r="D21">
        <v>9</v>
      </c>
      <c r="H21">
        <v>9</v>
      </c>
      <c r="J21" t="s">
        <v>310</v>
      </c>
      <c r="K21" s="13" t="s">
        <v>311</v>
      </c>
    </row>
    <row r="22" spans="4:11" ht="409.5" x14ac:dyDescent="0.25">
      <c r="D22">
        <v>10</v>
      </c>
      <c r="J22" t="s">
        <v>312</v>
      </c>
      <c r="K22" s="13" t="s">
        <v>313</v>
      </c>
    </row>
    <row r="23" spans="4:11" ht="409.5" x14ac:dyDescent="0.25">
      <c r="D23">
        <v>11</v>
      </c>
      <c r="J23" t="s">
        <v>314</v>
      </c>
      <c r="K23" s="13" t="s">
        <v>315</v>
      </c>
    </row>
    <row r="24" spans="4:11" ht="409.5" x14ac:dyDescent="0.25">
      <c r="J24" t="s">
        <v>316</v>
      </c>
      <c r="K24" s="13" t="s">
        <v>446</v>
      </c>
    </row>
    <row r="25" spans="4:11" x14ac:dyDescent="0.25">
      <c r="J25" t="s">
        <v>317</v>
      </c>
      <c r="K25" t="b">
        <v>0</v>
      </c>
    </row>
    <row r="26" spans="4:11" x14ac:dyDescent="0.25">
      <c r="J26" t="s">
        <v>443</v>
      </c>
      <c r="K26" t="s">
        <v>444</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workbookViewId="0"/>
  </sheetViews>
  <sheetFormatPr defaultRowHeight="15" x14ac:dyDescent="0.25"/>
  <cols>
    <col min="1" max="1" width="39.7109375" customWidth="1"/>
    <col min="2" max="2" width="20.140625" bestFit="1" customWidth="1"/>
    <col min="3" max="3" width="29.7109375" customWidth="1"/>
    <col min="4" max="4" width="11.140625" bestFit="1" customWidth="1"/>
    <col min="5" max="5" width="29.7109375" customWidth="1"/>
    <col min="6" max="6" width="11.140625" bestFit="1" customWidth="1"/>
  </cols>
  <sheetData>
    <row r="1" spans="1:6" ht="15" customHeight="1" x14ac:dyDescent="0.25">
      <c r="A1" s="13" t="s">
        <v>331</v>
      </c>
      <c r="B1" s="13" t="s">
        <v>332</v>
      </c>
      <c r="C1" s="13" t="s">
        <v>333</v>
      </c>
      <c r="D1" s="13" t="s">
        <v>335</v>
      </c>
      <c r="E1" s="13" t="s">
        <v>334</v>
      </c>
      <c r="F1" s="13" t="s">
        <v>336</v>
      </c>
    </row>
    <row r="2" spans="1:6" x14ac:dyDescent="0.25">
      <c r="A2" s="89" t="s">
        <v>214</v>
      </c>
      <c r="B2" s="85">
        <v>2</v>
      </c>
      <c r="C2" s="89" t="s">
        <v>214</v>
      </c>
      <c r="D2" s="85">
        <v>1</v>
      </c>
      <c r="E2" s="89" t="s">
        <v>214</v>
      </c>
      <c r="F2" s="85">
        <v>1</v>
      </c>
    </row>
    <row r="5" spans="1:6" ht="15" customHeight="1" x14ac:dyDescent="0.25">
      <c r="A5" s="13" t="s">
        <v>338</v>
      </c>
      <c r="B5" s="13" t="s">
        <v>332</v>
      </c>
      <c r="C5" s="13" t="s">
        <v>339</v>
      </c>
      <c r="D5" s="13" t="s">
        <v>335</v>
      </c>
      <c r="E5" s="13" t="s">
        <v>340</v>
      </c>
      <c r="F5" s="13" t="s">
        <v>336</v>
      </c>
    </row>
    <row r="6" spans="1:6" x14ac:dyDescent="0.25">
      <c r="A6" s="85" t="s">
        <v>215</v>
      </c>
      <c r="B6" s="85">
        <v>2</v>
      </c>
      <c r="C6" s="85" t="s">
        <v>215</v>
      </c>
      <c r="D6" s="85">
        <v>1</v>
      </c>
      <c r="E6" s="85" t="s">
        <v>215</v>
      </c>
      <c r="F6" s="85">
        <v>1</v>
      </c>
    </row>
    <row r="9" spans="1:6" ht="15" customHeight="1" x14ac:dyDescent="0.25">
      <c r="A9" s="13" t="s">
        <v>342</v>
      </c>
      <c r="B9" s="13" t="s">
        <v>332</v>
      </c>
      <c r="C9" s="13" t="s">
        <v>343</v>
      </c>
      <c r="D9" s="13" t="s">
        <v>335</v>
      </c>
      <c r="E9" s="13" t="s">
        <v>344</v>
      </c>
      <c r="F9" s="13" t="s">
        <v>336</v>
      </c>
    </row>
    <row r="10" spans="1:6" x14ac:dyDescent="0.25">
      <c r="A10" s="85" t="s">
        <v>217</v>
      </c>
      <c r="B10" s="85">
        <v>2</v>
      </c>
      <c r="C10" s="85" t="s">
        <v>217</v>
      </c>
      <c r="D10" s="85">
        <v>2</v>
      </c>
      <c r="E10" s="85" t="s">
        <v>216</v>
      </c>
      <c r="F10" s="85">
        <v>1</v>
      </c>
    </row>
    <row r="11" spans="1:6" x14ac:dyDescent="0.25">
      <c r="A11" s="85" t="s">
        <v>216</v>
      </c>
      <c r="B11" s="85">
        <v>1</v>
      </c>
      <c r="C11" s="85"/>
      <c r="D11" s="85"/>
      <c r="E11" s="85"/>
      <c r="F11" s="85"/>
    </row>
    <row r="14" spans="1:6" ht="15" customHeight="1" x14ac:dyDescent="0.25">
      <c r="A14" s="13" t="s">
        <v>346</v>
      </c>
      <c r="B14" s="13" t="s">
        <v>332</v>
      </c>
      <c r="C14" s="13" t="s">
        <v>357</v>
      </c>
      <c r="D14" s="13" t="s">
        <v>335</v>
      </c>
      <c r="E14" s="85" t="s">
        <v>363</v>
      </c>
      <c r="F14" s="85" t="s">
        <v>336</v>
      </c>
    </row>
    <row r="15" spans="1:6" x14ac:dyDescent="0.25">
      <c r="A15" s="91" t="s">
        <v>347</v>
      </c>
      <c r="B15" s="91">
        <v>0</v>
      </c>
      <c r="C15" s="91" t="s">
        <v>358</v>
      </c>
      <c r="D15" s="91">
        <v>2</v>
      </c>
      <c r="E15" s="91"/>
      <c r="F15" s="91"/>
    </row>
    <row r="16" spans="1:6" x14ac:dyDescent="0.25">
      <c r="A16" s="91" t="s">
        <v>348</v>
      </c>
      <c r="B16" s="91">
        <v>0</v>
      </c>
      <c r="C16" s="91" t="s">
        <v>352</v>
      </c>
      <c r="D16" s="91">
        <v>2</v>
      </c>
      <c r="E16" s="91"/>
      <c r="F16" s="91"/>
    </row>
    <row r="17" spans="1:6" x14ac:dyDescent="0.25">
      <c r="A17" s="91" t="s">
        <v>349</v>
      </c>
      <c r="B17" s="91">
        <v>0</v>
      </c>
      <c r="C17" s="91" t="s">
        <v>353</v>
      </c>
      <c r="D17" s="91">
        <v>2</v>
      </c>
      <c r="E17" s="91"/>
      <c r="F17" s="91"/>
    </row>
    <row r="18" spans="1:6" x14ac:dyDescent="0.25">
      <c r="A18" s="91" t="s">
        <v>350</v>
      </c>
      <c r="B18" s="91">
        <v>45</v>
      </c>
      <c r="C18" s="91" t="s">
        <v>354</v>
      </c>
      <c r="D18" s="91">
        <v>2</v>
      </c>
      <c r="E18" s="91"/>
      <c r="F18" s="91"/>
    </row>
    <row r="19" spans="1:6" x14ac:dyDescent="0.25">
      <c r="A19" s="91" t="s">
        <v>351</v>
      </c>
      <c r="B19" s="91">
        <v>45</v>
      </c>
      <c r="C19" s="91" t="s">
        <v>355</v>
      </c>
      <c r="D19" s="91">
        <v>2</v>
      </c>
      <c r="E19" s="91"/>
      <c r="F19" s="91"/>
    </row>
    <row r="20" spans="1:6" x14ac:dyDescent="0.25">
      <c r="A20" s="91" t="s">
        <v>352</v>
      </c>
      <c r="B20" s="91">
        <v>3</v>
      </c>
      <c r="C20" s="91" t="s">
        <v>356</v>
      </c>
      <c r="D20" s="91">
        <v>2</v>
      </c>
      <c r="E20" s="91"/>
      <c r="F20" s="91"/>
    </row>
    <row r="21" spans="1:6" x14ac:dyDescent="0.25">
      <c r="A21" s="91" t="s">
        <v>353</v>
      </c>
      <c r="B21" s="91">
        <v>3</v>
      </c>
      <c r="C21" s="91" t="s">
        <v>359</v>
      </c>
      <c r="D21" s="91">
        <v>2</v>
      </c>
      <c r="E21" s="91"/>
      <c r="F21" s="91"/>
    </row>
    <row r="22" spans="1:6" x14ac:dyDescent="0.25">
      <c r="A22" s="91" t="s">
        <v>354</v>
      </c>
      <c r="B22" s="91">
        <v>3</v>
      </c>
      <c r="C22" s="91" t="s">
        <v>360</v>
      </c>
      <c r="D22" s="91">
        <v>2</v>
      </c>
      <c r="E22" s="91"/>
      <c r="F22" s="91"/>
    </row>
    <row r="23" spans="1:6" x14ac:dyDescent="0.25">
      <c r="A23" s="91" t="s">
        <v>355</v>
      </c>
      <c r="B23" s="91">
        <v>3</v>
      </c>
      <c r="C23" s="91" t="s">
        <v>361</v>
      </c>
      <c r="D23" s="91">
        <v>2</v>
      </c>
      <c r="E23" s="91"/>
      <c r="F23" s="91"/>
    </row>
    <row r="24" spans="1:6" x14ac:dyDescent="0.25">
      <c r="A24" s="91" t="s">
        <v>356</v>
      </c>
      <c r="B24" s="91">
        <v>3</v>
      </c>
      <c r="C24" s="91" t="s">
        <v>362</v>
      </c>
      <c r="D24" s="91">
        <v>2</v>
      </c>
      <c r="E24" s="91"/>
      <c r="F24" s="91"/>
    </row>
    <row r="27" spans="1:6" ht="15" customHeight="1" x14ac:dyDescent="0.25">
      <c r="A27" s="13" t="s">
        <v>366</v>
      </c>
      <c r="B27" s="13" t="s">
        <v>332</v>
      </c>
      <c r="C27" s="13" t="s">
        <v>377</v>
      </c>
      <c r="D27" s="13" t="s">
        <v>335</v>
      </c>
      <c r="E27" s="85" t="s">
        <v>378</v>
      </c>
      <c r="F27" s="85" t="s">
        <v>336</v>
      </c>
    </row>
    <row r="28" spans="1:6" x14ac:dyDescent="0.25">
      <c r="A28" s="91" t="s">
        <v>367</v>
      </c>
      <c r="B28" s="91">
        <v>3</v>
      </c>
      <c r="C28" s="91" t="s">
        <v>375</v>
      </c>
      <c r="D28" s="91">
        <v>2</v>
      </c>
      <c r="E28" s="91"/>
      <c r="F28" s="91"/>
    </row>
    <row r="29" spans="1:6" x14ac:dyDescent="0.25">
      <c r="A29" s="91" t="s">
        <v>368</v>
      </c>
      <c r="B29" s="91">
        <v>3</v>
      </c>
      <c r="C29" s="91" t="s">
        <v>367</v>
      </c>
      <c r="D29" s="91">
        <v>2</v>
      </c>
      <c r="E29" s="91"/>
      <c r="F29" s="91"/>
    </row>
    <row r="30" spans="1:6" x14ac:dyDescent="0.25">
      <c r="A30" s="91" t="s">
        <v>369</v>
      </c>
      <c r="B30" s="91">
        <v>3</v>
      </c>
      <c r="C30" s="91" t="s">
        <v>368</v>
      </c>
      <c r="D30" s="91">
        <v>2</v>
      </c>
      <c r="E30" s="91"/>
      <c r="F30" s="91"/>
    </row>
    <row r="31" spans="1:6" x14ac:dyDescent="0.25">
      <c r="A31" s="91" t="s">
        <v>370</v>
      </c>
      <c r="B31" s="91">
        <v>3</v>
      </c>
      <c r="C31" s="91" t="s">
        <v>369</v>
      </c>
      <c r="D31" s="91">
        <v>2</v>
      </c>
      <c r="E31" s="91"/>
      <c r="F31" s="91"/>
    </row>
    <row r="32" spans="1:6" x14ac:dyDescent="0.25">
      <c r="A32" s="91" t="s">
        <v>371</v>
      </c>
      <c r="B32" s="91">
        <v>3</v>
      </c>
      <c r="C32" s="91" t="s">
        <v>370</v>
      </c>
      <c r="D32" s="91">
        <v>2</v>
      </c>
      <c r="E32" s="91"/>
      <c r="F32" s="91"/>
    </row>
    <row r="33" spans="1:6" x14ac:dyDescent="0.25">
      <c r="A33" s="91" t="s">
        <v>372</v>
      </c>
      <c r="B33" s="91">
        <v>3</v>
      </c>
      <c r="C33" s="91" t="s">
        <v>371</v>
      </c>
      <c r="D33" s="91">
        <v>2</v>
      </c>
      <c r="E33" s="91"/>
      <c r="F33" s="91"/>
    </row>
    <row r="34" spans="1:6" x14ac:dyDescent="0.25">
      <c r="A34" s="91" t="s">
        <v>373</v>
      </c>
      <c r="B34" s="91">
        <v>3</v>
      </c>
      <c r="C34" s="91" t="s">
        <v>372</v>
      </c>
      <c r="D34" s="91">
        <v>2</v>
      </c>
      <c r="E34" s="91"/>
      <c r="F34" s="91"/>
    </row>
    <row r="35" spans="1:6" x14ac:dyDescent="0.25">
      <c r="A35" s="91" t="s">
        <v>374</v>
      </c>
      <c r="B35" s="91">
        <v>3</v>
      </c>
      <c r="C35" s="91" t="s">
        <v>373</v>
      </c>
      <c r="D35" s="91">
        <v>2</v>
      </c>
      <c r="E35" s="91"/>
      <c r="F35" s="91"/>
    </row>
    <row r="36" spans="1:6" x14ac:dyDescent="0.25">
      <c r="A36" s="91" t="s">
        <v>375</v>
      </c>
      <c r="B36" s="91">
        <v>2</v>
      </c>
      <c r="C36" s="91" t="s">
        <v>374</v>
      </c>
      <c r="D36" s="91">
        <v>2</v>
      </c>
      <c r="E36" s="91"/>
      <c r="F36" s="91"/>
    </row>
    <row r="37" spans="1:6" x14ac:dyDescent="0.25">
      <c r="A37" s="91" t="s">
        <v>376</v>
      </c>
      <c r="B37" s="91">
        <v>2</v>
      </c>
      <c r="C37" s="91" t="s">
        <v>376</v>
      </c>
      <c r="D37" s="91">
        <v>2</v>
      </c>
      <c r="E37" s="91"/>
      <c r="F37" s="91"/>
    </row>
    <row r="40" spans="1:6" ht="15" customHeight="1" x14ac:dyDescent="0.25">
      <c r="A40" s="85" t="s">
        <v>381</v>
      </c>
      <c r="B40" s="85" t="s">
        <v>332</v>
      </c>
      <c r="C40" s="85" t="s">
        <v>383</v>
      </c>
      <c r="D40" s="85" t="s">
        <v>335</v>
      </c>
      <c r="E40" s="85" t="s">
        <v>384</v>
      </c>
      <c r="F40" s="85" t="s">
        <v>336</v>
      </c>
    </row>
    <row r="41" spans="1:6" x14ac:dyDescent="0.25">
      <c r="A41" s="85"/>
      <c r="B41" s="85"/>
      <c r="C41" s="85"/>
      <c r="D41" s="85"/>
      <c r="E41" s="85"/>
      <c r="F41" s="85"/>
    </row>
    <row r="43" spans="1:6" ht="15" customHeight="1" x14ac:dyDescent="0.25">
      <c r="A43" s="13" t="s">
        <v>382</v>
      </c>
      <c r="B43" s="13" t="s">
        <v>332</v>
      </c>
      <c r="C43" s="13" t="s">
        <v>385</v>
      </c>
      <c r="D43" s="13" t="s">
        <v>335</v>
      </c>
      <c r="E43" s="85" t="s">
        <v>386</v>
      </c>
      <c r="F43" s="85" t="s">
        <v>336</v>
      </c>
    </row>
    <row r="44" spans="1:6" x14ac:dyDescent="0.25">
      <c r="A44" s="85" t="s">
        <v>208</v>
      </c>
      <c r="B44" s="85">
        <v>1</v>
      </c>
      <c r="C44" s="85" t="s">
        <v>208</v>
      </c>
      <c r="D44" s="85">
        <v>1</v>
      </c>
      <c r="E44" s="85"/>
      <c r="F44" s="85"/>
    </row>
    <row r="47" spans="1:6" ht="15" customHeight="1" x14ac:dyDescent="0.25">
      <c r="A47" s="13" t="s">
        <v>389</v>
      </c>
      <c r="B47" s="13" t="s">
        <v>332</v>
      </c>
      <c r="C47" s="13" t="s">
        <v>390</v>
      </c>
      <c r="D47" s="13" t="s">
        <v>335</v>
      </c>
      <c r="E47" s="13" t="s">
        <v>391</v>
      </c>
      <c r="F47" s="13" t="s">
        <v>336</v>
      </c>
    </row>
    <row r="48" spans="1:6" x14ac:dyDescent="0.25">
      <c r="A48" s="124" t="s">
        <v>208</v>
      </c>
      <c r="B48" s="85">
        <v>110289</v>
      </c>
      <c r="C48" s="124" t="s">
        <v>208</v>
      </c>
      <c r="D48" s="85">
        <v>110289</v>
      </c>
      <c r="E48" s="124" t="s">
        <v>207</v>
      </c>
      <c r="F48" s="85">
        <v>10670</v>
      </c>
    </row>
    <row r="49" spans="1:6" x14ac:dyDescent="0.25">
      <c r="A49" s="124" t="s">
        <v>207</v>
      </c>
      <c r="B49" s="85">
        <v>10670</v>
      </c>
      <c r="C49" s="124" t="s">
        <v>209</v>
      </c>
      <c r="D49" s="85">
        <v>534</v>
      </c>
      <c r="E49" s="124"/>
      <c r="F49" s="85"/>
    </row>
    <row r="50" spans="1:6" x14ac:dyDescent="0.25">
      <c r="A50" s="124" t="s">
        <v>209</v>
      </c>
      <c r="B50" s="85">
        <v>534</v>
      </c>
      <c r="C50" s="124"/>
      <c r="D50" s="85"/>
      <c r="E50" s="124"/>
      <c r="F50" s="85"/>
    </row>
  </sheetData>
  <hyperlinks>
    <hyperlink ref="A2" r:id="rId1"/>
    <hyperlink ref="C2" r:id="rId2"/>
    <hyperlink ref="E2" r:id="rId3"/>
  </hyperlinks>
  <pageMargins left="0.7" right="0.7" top="0.75" bottom="0.75" header="0.3" footer="0.3"/>
  <tableParts count="8">
    <tablePart r:id="rId4"/>
    <tablePart r:id="rId5"/>
    <tablePart r:id="rId6"/>
    <tablePart r:id="rId7"/>
    <tablePart r:id="rId8"/>
    <tablePart r:id="rId9"/>
    <tablePart r:id="rId10"/>
    <tablePart r:id="rId1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heetViews>
  <sheetFormatPr defaultRowHeight="15" x14ac:dyDescent="0.25"/>
  <cols>
    <col min="1" max="1" width="8" bestFit="1" customWidth="1"/>
    <col min="2" max="2" width="8.42578125" bestFit="1" customWidth="1"/>
    <col min="3" max="3" width="10.5703125" bestFit="1" customWidth="1"/>
    <col min="4" max="4" width="8.5703125" bestFit="1" customWidth="1"/>
    <col min="5" max="5" width="35.140625" bestFit="1" customWidth="1"/>
    <col min="6" max="6" width="36.140625" bestFit="1" customWidth="1"/>
    <col min="7" max="7" width="40.85546875" bestFit="1" customWidth="1"/>
  </cols>
  <sheetData>
    <row r="1" spans="1:7" ht="15" customHeight="1" x14ac:dyDescent="0.25">
      <c r="A1" s="13" t="s">
        <v>410</v>
      </c>
      <c r="B1" s="13" t="s">
        <v>411</v>
      </c>
      <c r="C1" s="13" t="s">
        <v>412</v>
      </c>
      <c r="D1" s="13" t="s">
        <v>144</v>
      </c>
      <c r="E1" s="13" t="s">
        <v>414</v>
      </c>
      <c r="F1" s="13" t="s">
        <v>415</v>
      </c>
      <c r="G1" s="13" t="s">
        <v>416</v>
      </c>
    </row>
    <row r="2" spans="1:7" x14ac:dyDescent="0.25">
      <c r="A2" s="85" t="s">
        <v>347</v>
      </c>
      <c r="B2" s="85">
        <v>0</v>
      </c>
      <c r="C2" s="130">
        <v>0</v>
      </c>
      <c r="D2" s="85" t="s">
        <v>413</v>
      </c>
      <c r="E2" s="85"/>
      <c r="F2" s="85"/>
      <c r="G2" s="85"/>
    </row>
    <row r="3" spans="1:7" x14ac:dyDescent="0.25">
      <c r="A3" s="85" t="s">
        <v>348</v>
      </c>
      <c r="B3" s="85">
        <v>0</v>
      </c>
      <c r="C3" s="130">
        <v>0</v>
      </c>
      <c r="D3" s="85" t="s">
        <v>413</v>
      </c>
      <c r="E3" s="85"/>
      <c r="F3" s="85"/>
      <c r="G3" s="85"/>
    </row>
    <row r="4" spans="1:7" x14ac:dyDescent="0.25">
      <c r="A4" s="85" t="s">
        <v>349</v>
      </c>
      <c r="B4" s="85">
        <v>0</v>
      </c>
      <c r="C4" s="130">
        <v>0</v>
      </c>
      <c r="D4" s="85" t="s">
        <v>413</v>
      </c>
      <c r="E4" s="85"/>
      <c r="F4" s="85"/>
      <c r="G4" s="85"/>
    </row>
    <row r="5" spans="1:7" x14ac:dyDescent="0.25">
      <c r="A5" s="85" t="s">
        <v>350</v>
      </c>
      <c r="B5" s="85">
        <v>45</v>
      </c>
      <c r="C5" s="130">
        <v>1</v>
      </c>
      <c r="D5" s="85" t="s">
        <v>413</v>
      </c>
      <c r="E5" s="85"/>
      <c r="F5" s="85"/>
      <c r="G5" s="85"/>
    </row>
    <row r="6" spans="1:7" x14ac:dyDescent="0.25">
      <c r="A6" s="85" t="s">
        <v>351</v>
      </c>
      <c r="B6" s="85">
        <v>45</v>
      </c>
      <c r="C6" s="130">
        <v>1</v>
      </c>
      <c r="D6" s="85" t="s">
        <v>413</v>
      </c>
      <c r="E6" s="85"/>
      <c r="F6" s="85"/>
      <c r="G6" s="85"/>
    </row>
    <row r="7" spans="1:7" x14ac:dyDescent="0.25">
      <c r="A7" s="91" t="s">
        <v>352</v>
      </c>
      <c r="B7" s="91">
        <v>3</v>
      </c>
      <c r="C7" s="131">
        <v>0</v>
      </c>
      <c r="D7" s="91" t="s">
        <v>413</v>
      </c>
      <c r="E7" s="91" t="b">
        <v>0</v>
      </c>
      <c r="F7" s="91" t="b">
        <v>0</v>
      </c>
      <c r="G7" s="91" t="b">
        <v>0</v>
      </c>
    </row>
    <row r="8" spans="1:7" x14ac:dyDescent="0.25">
      <c r="A8" s="91" t="s">
        <v>353</v>
      </c>
      <c r="B8" s="91">
        <v>3</v>
      </c>
      <c r="C8" s="131">
        <v>0</v>
      </c>
      <c r="D8" s="91" t="s">
        <v>413</v>
      </c>
      <c r="E8" s="91" t="b">
        <v>0</v>
      </c>
      <c r="F8" s="91" t="b">
        <v>0</v>
      </c>
      <c r="G8" s="91" t="b">
        <v>0</v>
      </c>
    </row>
    <row r="9" spans="1:7" x14ac:dyDescent="0.25">
      <c r="A9" s="91" t="s">
        <v>354</v>
      </c>
      <c r="B9" s="91">
        <v>3</v>
      </c>
      <c r="C9" s="131">
        <v>0</v>
      </c>
      <c r="D9" s="91" t="s">
        <v>413</v>
      </c>
      <c r="E9" s="91" t="b">
        <v>0</v>
      </c>
      <c r="F9" s="91" t="b">
        <v>0</v>
      </c>
      <c r="G9" s="91" t="b">
        <v>0</v>
      </c>
    </row>
    <row r="10" spans="1:7" x14ac:dyDescent="0.25">
      <c r="A10" s="91" t="s">
        <v>355</v>
      </c>
      <c r="B10" s="91">
        <v>3</v>
      </c>
      <c r="C10" s="131">
        <v>0</v>
      </c>
      <c r="D10" s="91" t="s">
        <v>413</v>
      </c>
      <c r="E10" s="91" t="b">
        <v>0</v>
      </c>
      <c r="F10" s="91" t="b">
        <v>0</v>
      </c>
      <c r="G10" s="91" t="b">
        <v>0</v>
      </c>
    </row>
    <row r="11" spans="1:7" x14ac:dyDescent="0.25">
      <c r="A11" s="91" t="s">
        <v>356</v>
      </c>
      <c r="B11" s="91">
        <v>3</v>
      </c>
      <c r="C11" s="131">
        <v>0</v>
      </c>
      <c r="D11" s="91" t="s">
        <v>413</v>
      </c>
      <c r="E11" s="91" t="b">
        <v>0</v>
      </c>
      <c r="F11" s="91" t="b">
        <v>0</v>
      </c>
      <c r="G11" s="91" t="b">
        <v>0</v>
      </c>
    </row>
    <row r="12" spans="1:7" x14ac:dyDescent="0.25">
      <c r="A12" s="91" t="s">
        <v>359</v>
      </c>
      <c r="B12" s="91">
        <v>3</v>
      </c>
      <c r="C12" s="131">
        <v>0</v>
      </c>
      <c r="D12" s="91" t="s">
        <v>413</v>
      </c>
      <c r="E12" s="91" t="b">
        <v>0</v>
      </c>
      <c r="F12" s="91" t="b">
        <v>0</v>
      </c>
      <c r="G12" s="91" t="b">
        <v>0</v>
      </c>
    </row>
    <row r="13" spans="1:7" x14ac:dyDescent="0.25">
      <c r="A13" s="91" t="s">
        <v>360</v>
      </c>
      <c r="B13" s="91">
        <v>3</v>
      </c>
      <c r="C13" s="131">
        <v>0</v>
      </c>
      <c r="D13" s="91" t="s">
        <v>413</v>
      </c>
      <c r="E13" s="91" t="b">
        <v>0</v>
      </c>
      <c r="F13" s="91" t="b">
        <v>0</v>
      </c>
      <c r="G13" s="91" t="b">
        <v>0</v>
      </c>
    </row>
    <row r="14" spans="1:7" x14ac:dyDescent="0.25">
      <c r="A14" s="91" t="s">
        <v>361</v>
      </c>
      <c r="B14" s="91">
        <v>3</v>
      </c>
      <c r="C14" s="131">
        <v>0</v>
      </c>
      <c r="D14" s="91" t="s">
        <v>413</v>
      </c>
      <c r="E14" s="91" t="b">
        <v>0</v>
      </c>
      <c r="F14" s="91" t="b">
        <v>0</v>
      </c>
      <c r="G14" s="91" t="b">
        <v>0</v>
      </c>
    </row>
    <row r="15" spans="1:7" x14ac:dyDescent="0.25">
      <c r="A15" s="91" t="s">
        <v>362</v>
      </c>
      <c r="B15" s="91">
        <v>3</v>
      </c>
      <c r="C15" s="131">
        <v>0</v>
      </c>
      <c r="D15" s="91" t="s">
        <v>413</v>
      </c>
      <c r="E15" s="91" t="b">
        <v>0</v>
      </c>
      <c r="F15" s="91" t="b">
        <v>0</v>
      </c>
      <c r="G15" s="91" t="b">
        <v>0</v>
      </c>
    </row>
    <row r="16" spans="1:7" x14ac:dyDescent="0.25">
      <c r="A16" s="91" t="s">
        <v>358</v>
      </c>
      <c r="B16" s="91">
        <v>2</v>
      </c>
      <c r="C16" s="131">
        <v>1.0062357660324641E-2</v>
      </c>
      <c r="D16" s="91" t="s">
        <v>413</v>
      </c>
      <c r="E16" s="91" t="b">
        <v>0</v>
      </c>
      <c r="F16" s="91" t="b">
        <v>0</v>
      </c>
      <c r="G16" s="91" t="b">
        <v>0</v>
      </c>
    </row>
    <row r="17" spans="1:7" x14ac:dyDescent="0.25">
      <c r="A17" s="91" t="s">
        <v>217</v>
      </c>
      <c r="B17" s="91">
        <v>2</v>
      </c>
      <c r="C17" s="131">
        <v>1.0062357660324641E-2</v>
      </c>
      <c r="D17" s="91" t="s">
        <v>413</v>
      </c>
      <c r="E17" s="91" t="b">
        <v>0</v>
      </c>
      <c r="F17" s="91" t="b">
        <v>0</v>
      </c>
      <c r="G17" s="91" t="b">
        <v>0</v>
      </c>
    </row>
    <row r="18" spans="1:7" x14ac:dyDescent="0.25">
      <c r="A18" s="91" t="s">
        <v>358</v>
      </c>
      <c r="B18" s="91">
        <v>2</v>
      </c>
      <c r="C18" s="131">
        <v>0</v>
      </c>
      <c r="D18" s="91" t="s">
        <v>319</v>
      </c>
      <c r="E18" s="91" t="b">
        <v>0</v>
      </c>
      <c r="F18" s="91" t="b">
        <v>0</v>
      </c>
      <c r="G18" s="91" t="b">
        <v>0</v>
      </c>
    </row>
    <row r="19" spans="1:7" x14ac:dyDescent="0.25">
      <c r="A19" s="91" t="s">
        <v>352</v>
      </c>
      <c r="B19" s="91">
        <v>2</v>
      </c>
      <c r="C19" s="131">
        <v>0</v>
      </c>
      <c r="D19" s="91" t="s">
        <v>319</v>
      </c>
      <c r="E19" s="91" t="b">
        <v>0</v>
      </c>
      <c r="F19" s="91" t="b">
        <v>0</v>
      </c>
      <c r="G19" s="91" t="b">
        <v>0</v>
      </c>
    </row>
    <row r="20" spans="1:7" x14ac:dyDescent="0.25">
      <c r="A20" s="91" t="s">
        <v>353</v>
      </c>
      <c r="B20" s="91">
        <v>2</v>
      </c>
      <c r="C20" s="131">
        <v>0</v>
      </c>
      <c r="D20" s="91" t="s">
        <v>319</v>
      </c>
      <c r="E20" s="91" t="b">
        <v>0</v>
      </c>
      <c r="F20" s="91" t="b">
        <v>0</v>
      </c>
      <c r="G20" s="91" t="b">
        <v>0</v>
      </c>
    </row>
    <row r="21" spans="1:7" x14ac:dyDescent="0.25">
      <c r="A21" s="91" t="s">
        <v>354</v>
      </c>
      <c r="B21" s="91">
        <v>2</v>
      </c>
      <c r="C21" s="131">
        <v>0</v>
      </c>
      <c r="D21" s="91" t="s">
        <v>319</v>
      </c>
      <c r="E21" s="91" t="b">
        <v>0</v>
      </c>
      <c r="F21" s="91" t="b">
        <v>0</v>
      </c>
      <c r="G21" s="91" t="b">
        <v>0</v>
      </c>
    </row>
    <row r="22" spans="1:7" x14ac:dyDescent="0.25">
      <c r="A22" s="91" t="s">
        <v>355</v>
      </c>
      <c r="B22" s="91">
        <v>2</v>
      </c>
      <c r="C22" s="131">
        <v>0</v>
      </c>
      <c r="D22" s="91" t="s">
        <v>319</v>
      </c>
      <c r="E22" s="91" t="b">
        <v>0</v>
      </c>
      <c r="F22" s="91" t="b">
        <v>0</v>
      </c>
      <c r="G22" s="91" t="b">
        <v>0</v>
      </c>
    </row>
    <row r="23" spans="1:7" x14ac:dyDescent="0.25">
      <c r="A23" s="91" t="s">
        <v>356</v>
      </c>
      <c r="B23" s="91">
        <v>2</v>
      </c>
      <c r="C23" s="131">
        <v>0</v>
      </c>
      <c r="D23" s="91" t="s">
        <v>319</v>
      </c>
      <c r="E23" s="91" t="b">
        <v>0</v>
      </c>
      <c r="F23" s="91" t="b">
        <v>0</v>
      </c>
      <c r="G23" s="91" t="b">
        <v>0</v>
      </c>
    </row>
    <row r="24" spans="1:7" x14ac:dyDescent="0.25">
      <c r="A24" s="91" t="s">
        <v>359</v>
      </c>
      <c r="B24" s="91">
        <v>2</v>
      </c>
      <c r="C24" s="131">
        <v>0</v>
      </c>
      <c r="D24" s="91" t="s">
        <v>319</v>
      </c>
      <c r="E24" s="91" t="b">
        <v>0</v>
      </c>
      <c r="F24" s="91" t="b">
        <v>0</v>
      </c>
      <c r="G24" s="91" t="b">
        <v>0</v>
      </c>
    </row>
    <row r="25" spans="1:7" x14ac:dyDescent="0.25">
      <c r="A25" s="91" t="s">
        <v>360</v>
      </c>
      <c r="B25" s="91">
        <v>2</v>
      </c>
      <c r="C25" s="131">
        <v>0</v>
      </c>
      <c r="D25" s="91" t="s">
        <v>319</v>
      </c>
      <c r="E25" s="91" t="b">
        <v>0</v>
      </c>
      <c r="F25" s="91" t="b">
        <v>0</v>
      </c>
      <c r="G25" s="91" t="b">
        <v>0</v>
      </c>
    </row>
    <row r="26" spans="1:7" x14ac:dyDescent="0.25">
      <c r="A26" s="91" t="s">
        <v>361</v>
      </c>
      <c r="B26" s="91">
        <v>2</v>
      </c>
      <c r="C26" s="131">
        <v>0</v>
      </c>
      <c r="D26" s="91" t="s">
        <v>319</v>
      </c>
      <c r="E26" s="91" t="b">
        <v>0</v>
      </c>
      <c r="F26" s="91" t="b">
        <v>0</v>
      </c>
      <c r="G26" s="91" t="b">
        <v>0</v>
      </c>
    </row>
    <row r="27" spans="1:7" x14ac:dyDescent="0.25">
      <c r="A27" s="91" t="s">
        <v>362</v>
      </c>
      <c r="B27" s="91">
        <v>2</v>
      </c>
      <c r="C27" s="131">
        <v>0</v>
      </c>
      <c r="D27" s="91" t="s">
        <v>319</v>
      </c>
      <c r="E27" s="91" t="b">
        <v>0</v>
      </c>
      <c r="F27" s="91" t="b">
        <v>0</v>
      </c>
      <c r="G27" s="91" t="b">
        <v>0</v>
      </c>
    </row>
    <row r="28" spans="1:7" x14ac:dyDescent="0.25">
      <c r="A28" s="91" t="s">
        <v>217</v>
      </c>
      <c r="B28" s="91">
        <v>2</v>
      </c>
      <c r="C28" s="131">
        <v>0</v>
      </c>
      <c r="D28" s="91" t="s">
        <v>319</v>
      </c>
      <c r="E28" s="91" t="b">
        <v>0</v>
      </c>
      <c r="F28" s="91" t="b">
        <v>0</v>
      </c>
      <c r="G28" s="91" t="b">
        <v>0</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B1B282C9-32B6-46A9-8510-625051A3275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13</vt:i4>
      </vt:variant>
    </vt:vector>
  </HeadingPairs>
  <TitlesOfParts>
    <vt:vector size="25" baseType="lpstr">
      <vt:lpstr>Edges</vt:lpstr>
      <vt:lpstr>Vertices</vt:lpstr>
      <vt:lpstr>Do Not Delete</vt:lpstr>
      <vt:lpstr>Groups</vt:lpstr>
      <vt:lpstr>Group Vertices</vt:lpstr>
      <vt:lpstr>Overall Metrics</vt:lpstr>
      <vt:lpstr>Misc</vt:lpstr>
      <vt:lpstr>Twitter Search Ntwrk Top Items</vt:lpstr>
      <vt:lpstr>Words</vt:lpstr>
      <vt:lpstr>Word Pairs</vt:lpstr>
      <vt:lpstr>Group Edges</vt:lpstr>
      <vt:lpstr>Top Items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 Smith</dc:creator>
  <cp:lastModifiedBy>Marc Smith</cp:lastModifiedBy>
  <dcterms:created xsi:type="dcterms:W3CDTF">2008-01-30T00:41:58Z</dcterms:created>
  <dcterms:modified xsi:type="dcterms:W3CDTF">2016-12-31T00:17:46Z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