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-255" yWindow="225" windowWidth="12390" windowHeight="8835" tabRatio="858"/>
  </bookViews>
  <sheets>
    <sheet name="Income Statement" sheetId="4" r:id="rId1"/>
    <sheet name="Balance Sheet" sheetId="1" r:id="rId2"/>
    <sheet name="Shareholders Equity" sheetId="2" r:id="rId3"/>
    <sheet name="DCF Analysis" sheetId="5" r:id="rId4"/>
    <sheet name="NWC" sheetId="3" r:id="rId5"/>
    <sheet name="Assumptions" sheetId="6" r:id="rId6"/>
    <sheet name="DuPont Analysis" sheetId="7" r:id="rId7"/>
    <sheet name="DCF Sensitivity Analysis" sheetId="9" r:id="rId8"/>
    <sheet name="Openings.Acquisitions" sheetId="8" r:id="rId9"/>
    <sheet name="Portfolio Contribution" sheetId="11" r:id="rId10"/>
    <sheet name="Correlation" sheetId="10" r:id="rId11"/>
    <sheet name="Margins" sheetId="14" r:id="rId12"/>
    <sheet name="Porter's 5 Forces" sheetId="13" r:id="rId13"/>
  </sheets>
  <externalReferences>
    <externalReference r:id="rId14"/>
    <externalReference r:id="rId15"/>
  </externalReferences>
  <definedNames>
    <definedName name="ProjCapEx" localSheetId="10">[2]Assumptions!$A$174:$IV$174</definedName>
    <definedName name="ProjCapEx">[1]Assumptions!$A$174:$IV$174</definedName>
    <definedName name="ProjNI" localSheetId="10">[2]Assumptions!$A$55:$IV$55</definedName>
    <definedName name="ProjNI">[1]Assumptions!$A$55:$IV$55</definedName>
  </definedNames>
  <calcPr calcId="92512" fullCalcOnLoad="1"/>
</workbook>
</file>

<file path=xl/calcChain.xml><?xml version="1.0" encoding="utf-8"?>
<calcChain xmlns="http://schemas.openxmlformats.org/spreadsheetml/2006/main">
  <c r="D7" i="6" l="1"/>
  <c r="E7" i="6"/>
  <c r="F7" i="6"/>
  <c r="G7" i="6"/>
  <c r="H7" i="6"/>
  <c r="C10" i="6"/>
  <c r="D10" i="6"/>
  <c r="E10" i="6"/>
  <c r="F10" i="6"/>
  <c r="G10" i="6"/>
  <c r="H10" i="6"/>
  <c r="C11" i="6"/>
  <c r="D11" i="6"/>
  <c r="E11" i="6"/>
  <c r="F11" i="6"/>
  <c r="G11" i="6"/>
  <c r="H11" i="6"/>
  <c r="C13" i="6"/>
  <c r="D13" i="6"/>
  <c r="E13" i="6"/>
  <c r="F13" i="6"/>
  <c r="G13" i="6"/>
  <c r="H13" i="6"/>
  <c r="I13" i="6"/>
  <c r="J13" i="6"/>
  <c r="K13" i="6"/>
  <c r="L13" i="6"/>
  <c r="M13" i="6"/>
  <c r="C15" i="6"/>
  <c r="D15" i="6"/>
  <c r="E15" i="6"/>
  <c r="F15" i="6"/>
  <c r="G15" i="6"/>
  <c r="H15" i="6"/>
  <c r="C17" i="6"/>
  <c r="D17" i="6"/>
  <c r="E17" i="6"/>
  <c r="F17" i="6"/>
  <c r="G17" i="6"/>
  <c r="H17" i="6"/>
  <c r="C19" i="6"/>
  <c r="D19" i="6"/>
  <c r="E19" i="6"/>
  <c r="F19" i="6"/>
  <c r="G19" i="6"/>
  <c r="H19" i="6"/>
  <c r="C31" i="6"/>
  <c r="D31" i="6"/>
  <c r="E31" i="6"/>
  <c r="F31" i="6"/>
  <c r="G31" i="6"/>
  <c r="H31" i="6"/>
  <c r="C33" i="6"/>
  <c r="D33" i="6"/>
  <c r="E33" i="6"/>
  <c r="F33" i="6"/>
  <c r="G33" i="6"/>
  <c r="H33" i="6"/>
  <c r="C35" i="6"/>
  <c r="D35" i="6"/>
  <c r="E35" i="6"/>
  <c r="F35" i="6"/>
  <c r="G35" i="6"/>
  <c r="H35" i="6"/>
  <c r="C37" i="6"/>
  <c r="D37" i="6"/>
  <c r="E37" i="6"/>
  <c r="F37" i="6"/>
  <c r="G37" i="6"/>
  <c r="H37" i="6"/>
  <c r="C39" i="6"/>
  <c r="D39" i="6"/>
  <c r="E39" i="6"/>
  <c r="F39" i="6"/>
  <c r="G39" i="6"/>
  <c r="H39" i="6"/>
  <c r="C40" i="6"/>
  <c r="D40" i="6"/>
  <c r="E40" i="6"/>
  <c r="F40" i="6"/>
  <c r="G40" i="6"/>
  <c r="H40" i="6"/>
  <c r="C41" i="6"/>
  <c r="D41" i="6"/>
  <c r="E41" i="6"/>
  <c r="F41" i="6"/>
  <c r="G41" i="6"/>
  <c r="H41" i="6"/>
  <c r="C47" i="6"/>
  <c r="D47" i="6"/>
  <c r="E47" i="6"/>
  <c r="F47" i="6"/>
  <c r="G47" i="6"/>
  <c r="H47" i="6"/>
  <c r="C49" i="6"/>
  <c r="D49" i="6"/>
  <c r="E49" i="6"/>
  <c r="F49" i="6"/>
  <c r="G49" i="6"/>
  <c r="H49" i="6"/>
  <c r="C51" i="6"/>
  <c r="D51" i="6"/>
  <c r="E51" i="6"/>
  <c r="F51" i="6"/>
  <c r="G51" i="6"/>
  <c r="H51" i="6"/>
  <c r="C53" i="6"/>
  <c r="D53" i="6"/>
  <c r="E53" i="6"/>
  <c r="F53" i="6"/>
  <c r="G53" i="6"/>
  <c r="H53" i="6"/>
  <c r="C55" i="6"/>
  <c r="D55" i="6"/>
  <c r="E55" i="6"/>
  <c r="F55" i="6"/>
  <c r="G55" i="6"/>
  <c r="H55" i="6"/>
  <c r="C57" i="6"/>
  <c r="D57" i="6"/>
  <c r="E57" i="6"/>
  <c r="F57" i="6"/>
  <c r="G57" i="6"/>
  <c r="H57" i="6"/>
  <c r="C59" i="6"/>
  <c r="D59" i="6"/>
  <c r="E59" i="6"/>
  <c r="F59" i="6"/>
  <c r="G59" i="6"/>
  <c r="H59" i="6"/>
  <c r="C61" i="6"/>
  <c r="D61" i="6"/>
  <c r="E61" i="6"/>
  <c r="F61" i="6"/>
  <c r="G61" i="6"/>
  <c r="H61" i="6"/>
  <c r="M8" i="1"/>
  <c r="N8" i="1"/>
  <c r="O8" i="1"/>
  <c r="P8" i="1"/>
  <c r="Q8" i="1"/>
  <c r="M9" i="1"/>
  <c r="N9" i="1"/>
  <c r="O9" i="1"/>
  <c r="P9" i="1"/>
  <c r="Q9" i="1"/>
  <c r="G10" i="1"/>
  <c r="H10" i="1"/>
  <c r="I10" i="1"/>
  <c r="J10" i="1"/>
  <c r="K10" i="1"/>
  <c r="L10" i="1"/>
  <c r="M10" i="1"/>
  <c r="N10" i="1"/>
  <c r="O10" i="1"/>
  <c r="P10" i="1"/>
  <c r="Q10" i="1"/>
  <c r="G11" i="1"/>
  <c r="H11" i="1"/>
  <c r="I11" i="1"/>
  <c r="J11" i="1"/>
  <c r="K11" i="1"/>
  <c r="L11" i="1"/>
  <c r="M11" i="1"/>
  <c r="N11" i="1"/>
  <c r="O11" i="1"/>
  <c r="P11" i="1"/>
  <c r="Q11" i="1"/>
  <c r="G12" i="1"/>
  <c r="H12" i="1"/>
  <c r="I12" i="1"/>
  <c r="J12" i="1"/>
  <c r="K12" i="1"/>
  <c r="L12" i="1"/>
  <c r="M12" i="1"/>
  <c r="N12" i="1"/>
  <c r="O12" i="1"/>
  <c r="P12" i="1"/>
  <c r="Q12" i="1"/>
  <c r="G14" i="1"/>
  <c r="H14" i="1"/>
  <c r="I14" i="1"/>
  <c r="J14" i="1"/>
  <c r="K14" i="1"/>
  <c r="L14" i="1"/>
  <c r="G16" i="1"/>
  <c r="H16" i="1"/>
  <c r="I16" i="1"/>
  <c r="J16" i="1"/>
  <c r="K16" i="1"/>
  <c r="L16" i="1"/>
  <c r="G18" i="1"/>
  <c r="H18" i="1"/>
  <c r="I18" i="1"/>
  <c r="J18" i="1"/>
  <c r="K18" i="1"/>
  <c r="L18" i="1"/>
  <c r="G20" i="1"/>
  <c r="H20" i="1"/>
  <c r="I20" i="1"/>
  <c r="J20" i="1"/>
  <c r="K20" i="1"/>
  <c r="L20" i="1"/>
  <c r="G21" i="1"/>
  <c r="H21" i="1"/>
  <c r="I21" i="1"/>
  <c r="J21" i="1"/>
  <c r="K21" i="1"/>
  <c r="L21" i="1"/>
  <c r="M21" i="1"/>
  <c r="N21" i="1"/>
  <c r="O21" i="1"/>
  <c r="P21" i="1"/>
  <c r="Q21" i="1"/>
  <c r="M23" i="1"/>
  <c r="N23" i="1"/>
  <c r="O23" i="1"/>
  <c r="P23" i="1"/>
  <c r="Q23" i="1"/>
  <c r="G24" i="1"/>
  <c r="H24" i="1"/>
  <c r="I24" i="1"/>
  <c r="J24" i="1"/>
  <c r="K24" i="1"/>
  <c r="L24" i="1"/>
  <c r="M24" i="1"/>
  <c r="N24" i="1"/>
  <c r="O24" i="1"/>
  <c r="P24" i="1"/>
  <c r="Q24" i="1"/>
  <c r="M26" i="1"/>
  <c r="N26" i="1"/>
  <c r="O26" i="1"/>
  <c r="P26" i="1"/>
  <c r="Q26" i="1"/>
  <c r="G27" i="1"/>
  <c r="H27" i="1"/>
  <c r="I27" i="1"/>
  <c r="J27" i="1"/>
  <c r="K27" i="1"/>
  <c r="L27" i="1"/>
  <c r="M27" i="1"/>
  <c r="N27" i="1"/>
  <c r="O27" i="1"/>
  <c r="P27" i="1"/>
  <c r="Q27" i="1"/>
  <c r="G30" i="1"/>
  <c r="H30" i="1"/>
  <c r="I30" i="1"/>
  <c r="J30" i="1"/>
  <c r="K30" i="1"/>
  <c r="L30" i="1"/>
  <c r="M30" i="1"/>
  <c r="N30" i="1"/>
  <c r="O30" i="1"/>
  <c r="P30" i="1"/>
  <c r="Q30" i="1"/>
  <c r="M31" i="1"/>
  <c r="N31" i="1"/>
  <c r="O31" i="1"/>
  <c r="P31" i="1"/>
  <c r="Q31" i="1"/>
  <c r="G33" i="1"/>
  <c r="H33" i="1"/>
  <c r="I33" i="1"/>
  <c r="J33" i="1"/>
  <c r="K33" i="1"/>
  <c r="L33" i="1"/>
  <c r="M33" i="1"/>
  <c r="N33" i="1"/>
  <c r="O33" i="1"/>
  <c r="P33" i="1"/>
  <c r="Q33" i="1"/>
  <c r="G34" i="1"/>
  <c r="H34" i="1"/>
  <c r="I34" i="1"/>
  <c r="J34" i="1"/>
  <c r="K34" i="1"/>
  <c r="L34" i="1"/>
  <c r="M34" i="1"/>
  <c r="N34" i="1"/>
  <c r="O34" i="1"/>
  <c r="P34" i="1"/>
  <c r="Q34" i="1"/>
  <c r="H35" i="1"/>
  <c r="I35" i="1"/>
  <c r="J35" i="1"/>
  <c r="K35" i="1"/>
  <c r="L35" i="1"/>
  <c r="M35" i="1"/>
  <c r="N35" i="1"/>
  <c r="O35" i="1"/>
  <c r="P35" i="1"/>
  <c r="Q35" i="1"/>
  <c r="G37" i="1"/>
  <c r="H37" i="1"/>
  <c r="I37" i="1"/>
  <c r="J37" i="1"/>
  <c r="K37" i="1"/>
  <c r="L37" i="1"/>
  <c r="G39" i="1"/>
  <c r="H39" i="1"/>
  <c r="I39" i="1"/>
  <c r="J39" i="1"/>
  <c r="K39" i="1"/>
  <c r="L39" i="1"/>
  <c r="G41" i="1"/>
  <c r="H41" i="1"/>
  <c r="I41" i="1"/>
  <c r="J41" i="1"/>
  <c r="K41" i="1"/>
  <c r="L41" i="1"/>
  <c r="G43" i="1"/>
  <c r="H43" i="1"/>
  <c r="I43" i="1"/>
  <c r="J43" i="1"/>
  <c r="K43" i="1"/>
  <c r="L43" i="1"/>
  <c r="G45" i="1"/>
  <c r="H45" i="1"/>
  <c r="I45" i="1"/>
  <c r="J45" i="1"/>
  <c r="K45" i="1"/>
  <c r="L45" i="1"/>
  <c r="G46" i="1"/>
  <c r="H46" i="1"/>
  <c r="I46" i="1"/>
  <c r="J46" i="1"/>
  <c r="K46" i="1"/>
  <c r="L46" i="1"/>
  <c r="G47" i="1"/>
  <c r="H47" i="1"/>
  <c r="I47" i="1"/>
  <c r="J47" i="1"/>
  <c r="K47" i="1"/>
  <c r="L47" i="1"/>
  <c r="G48" i="1"/>
  <c r="H48" i="1"/>
  <c r="I48" i="1"/>
  <c r="G50" i="1"/>
  <c r="H50" i="1"/>
  <c r="I50" i="1"/>
  <c r="J50" i="1"/>
  <c r="K50" i="1"/>
  <c r="L50" i="1"/>
  <c r="M51" i="1"/>
  <c r="N51" i="1"/>
  <c r="O51" i="1"/>
  <c r="P51" i="1"/>
  <c r="Q51" i="1"/>
  <c r="G52" i="1"/>
  <c r="H52" i="1"/>
  <c r="I52" i="1"/>
  <c r="J52" i="1"/>
  <c r="K52" i="1"/>
  <c r="L52" i="1"/>
  <c r="H53" i="1"/>
  <c r="I53" i="1"/>
  <c r="J53" i="1"/>
  <c r="K53" i="1"/>
  <c r="L53" i="1"/>
  <c r="M53" i="1"/>
  <c r="N53" i="1"/>
  <c r="O53" i="1"/>
  <c r="P53" i="1"/>
  <c r="Q53" i="1"/>
  <c r="M56" i="1"/>
  <c r="N56" i="1"/>
  <c r="O56" i="1"/>
  <c r="P56" i="1"/>
  <c r="Q56" i="1"/>
  <c r="G59" i="1"/>
  <c r="H59" i="1"/>
  <c r="I59" i="1"/>
  <c r="J59" i="1"/>
  <c r="K59" i="1"/>
  <c r="L59" i="1"/>
  <c r="M59" i="1"/>
  <c r="N59" i="1"/>
  <c r="O59" i="1"/>
  <c r="P59" i="1"/>
  <c r="Q59" i="1"/>
  <c r="H61" i="1"/>
  <c r="I61" i="1"/>
  <c r="J61" i="1"/>
  <c r="K61" i="1"/>
  <c r="L61" i="1"/>
  <c r="M61" i="1"/>
  <c r="N61" i="1"/>
  <c r="O61" i="1"/>
  <c r="P61" i="1"/>
  <c r="Q61" i="1"/>
  <c r="M66" i="1"/>
  <c r="N66" i="1"/>
  <c r="O66" i="1"/>
  <c r="P66" i="1"/>
  <c r="Q66" i="1"/>
  <c r="G67" i="1"/>
  <c r="H67" i="1"/>
  <c r="I67" i="1"/>
  <c r="M67" i="1"/>
  <c r="N67" i="1"/>
  <c r="O67" i="1"/>
  <c r="P67" i="1"/>
  <c r="Q67" i="1"/>
  <c r="G68" i="1"/>
  <c r="H68" i="1"/>
  <c r="I68" i="1"/>
  <c r="J68" i="1"/>
  <c r="K68" i="1"/>
  <c r="L68" i="1"/>
  <c r="M68" i="1"/>
  <c r="N68" i="1"/>
  <c r="O68" i="1"/>
  <c r="P68" i="1"/>
  <c r="Q68" i="1"/>
  <c r="G69" i="1"/>
  <c r="H69" i="1"/>
  <c r="I69" i="1"/>
  <c r="J69" i="1"/>
  <c r="K69" i="1"/>
  <c r="L69" i="1"/>
  <c r="M69" i="1"/>
  <c r="N69" i="1"/>
  <c r="O69" i="1"/>
  <c r="P69" i="1"/>
  <c r="Q69" i="1"/>
  <c r="G75" i="1"/>
  <c r="H75" i="1"/>
  <c r="I75" i="1"/>
  <c r="J75" i="1"/>
  <c r="K75" i="1"/>
  <c r="L75" i="1"/>
  <c r="M77" i="1"/>
  <c r="N77" i="1"/>
  <c r="O77" i="1"/>
  <c r="P77" i="1"/>
  <c r="Q77" i="1"/>
  <c r="G78" i="1"/>
  <c r="H78" i="1"/>
  <c r="I78" i="1"/>
  <c r="J78" i="1"/>
  <c r="K78" i="1"/>
  <c r="L78" i="1"/>
  <c r="M78" i="1"/>
  <c r="N78" i="1"/>
  <c r="O78" i="1"/>
  <c r="P78" i="1"/>
  <c r="Q78" i="1"/>
  <c r="M79" i="1"/>
  <c r="N79" i="1"/>
  <c r="O79" i="1"/>
  <c r="P79" i="1"/>
  <c r="Q79" i="1"/>
  <c r="G80" i="1"/>
  <c r="H80" i="1"/>
  <c r="I80" i="1"/>
  <c r="J80" i="1"/>
  <c r="K80" i="1"/>
  <c r="L80" i="1"/>
  <c r="M80" i="1"/>
  <c r="N80" i="1"/>
  <c r="O80" i="1"/>
  <c r="P80" i="1"/>
  <c r="Q80" i="1"/>
  <c r="M81" i="1"/>
  <c r="N81" i="1"/>
  <c r="O81" i="1"/>
  <c r="P81" i="1"/>
  <c r="Q81" i="1"/>
  <c r="G82" i="1"/>
  <c r="H82" i="1"/>
  <c r="I82" i="1"/>
  <c r="J82" i="1"/>
  <c r="K82" i="1"/>
  <c r="L82" i="1"/>
  <c r="M82" i="1"/>
  <c r="N82" i="1"/>
  <c r="O82" i="1"/>
  <c r="P82" i="1"/>
  <c r="Q82" i="1"/>
  <c r="M83" i="1"/>
  <c r="N83" i="1"/>
  <c r="O83" i="1"/>
  <c r="P83" i="1"/>
  <c r="Q83" i="1"/>
  <c r="G84" i="1"/>
  <c r="H84" i="1"/>
  <c r="I84" i="1"/>
  <c r="J84" i="1"/>
  <c r="K84" i="1"/>
  <c r="L84" i="1"/>
  <c r="M84" i="1"/>
  <c r="N84" i="1"/>
  <c r="O84" i="1"/>
  <c r="P84" i="1"/>
  <c r="Q84" i="1"/>
  <c r="G85" i="1"/>
  <c r="H85" i="1"/>
  <c r="I85" i="1"/>
  <c r="J85" i="1"/>
  <c r="K85" i="1"/>
  <c r="L85" i="1"/>
  <c r="M85" i="1"/>
  <c r="N85" i="1"/>
  <c r="O85" i="1"/>
  <c r="P85" i="1"/>
  <c r="Q85" i="1"/>
  <c r="M87" i="1"/>
  <c r="N87" i="1"/>
  <c r="O87" i="1"/>
  <c r="P87" i="1"/>
  <c r="Q87" i="1"/>
  <c r="G88" i="1"/>
  <c r="H88" i="1"/>
  <c r="I88" i="1"/>
  <c r="J88" i="1"/>
  <c r="K88" i="1"/>
  <c r="L88" i="1"/>
  <c r="M88" i="1"/>
  <c r="N88" i="1"/>
  <c r="O88" i="1"/>
  <c r="P88" i="1"/>
  <c r="Q88" i="1"/>
  <c r="M90" i="1"/>
  <c r="N90" i="1"/>
  <c r="O90" i="1"/>
  <c r="P90" i="1"/>
  <c r="Q90" i="1"/>
  <c r="G91" i="1"/>
  <c r="H91" i="1"/>
  <c r="I91" i="1"/>
  <c r="J91" i="1"/>
  <c r="K91" i="1"/>
  <c r="L91" i="1"/>
  <c r="M91" i="1"/>
  <c r="N91" i="1"/>
  <c r="O91" i="1"/>
  <c r="P91" i="1"/>
  <c r="Q91" i="1"/>
  <c r="H92" i="1"/>
  <c r="I92" i="1"/>
  <c r="J92" i="1"/>
  <c r="K92" i="1"/>
  <c r="L92" i="1"/>
  <c r="G93" i="1"/>
  <c r="H93" i="1"/>
  <c r="I93" i="1"/>
  <c r="J93" i="1"/>
  <c r="K93" i="1"/>
  <c r="L93" i="1"/>
  <c r="M93" i="1"/>
  <c r="N93" i="1"/>
  <c r="O93" i="1"/>
  <c r="P93" i="1"/>
  <c r="Q93" i="1"/>
  <c r="H94" i="1"/>
  <c r="I94" i="1"/>
  <c r="J94" i="1"/>
  <c r="K94" i="1"/>
  <c r="L94" i="1"/>
  <c r="M94" i="1"/>
  <c r="N94" i="1"/>
  <c r="O94" i="1"/>
  <c r="P94" i="1"/>
  <c r="Q94" i="1"/>
  <c r="G96" i="1"/>
  <c r="H96" i="1"/>
  <c r="I96" i="1"/>
  <c r="J96" i="1"/>
  <c r="K96" i="1"/>
  <c r="L96" i="1"/>
  <c r="M96" i="1"/>
  <c r="N96" i="1"/>
  <c r="O96" i="1"/>
  <c r="P96" i="1"/>
  <c r="Q96" i="1"/>
  <c r="H97" i="1"/>
  <c r="I97" i="1"/>
  <c r="J97" i="1"/>
  <c r="K97" i="1"/>
  <c r="L97" i="1"/>
  <c r="M97" i="1"/>
  <c r="N97" i="1"/>
  <c r="O97" i="1"/>
  <c r="P97" i="1"/>
  <c r="Q97" i="1"/>
  <c r="G104" i="1"/>
  <c r="H104" i="1"/>
  <c r="I104" i="1"/>
  <c r="J104" i="1"/>
  <c r="K104" i="1"/>
  <c r="L104" i="1"/>
  <c r="M104" i="1"/>
  <c r="N104" i="1"/>
  <c r="O104" i="1"/>
  <c r="P104" i="1"/>
  <c r="Q104" i="1"/>
  <c r="G105" i="1"/>
  <c r="H105" i="1"/>
  <c r="I105" i="1"/>
  <c r="J105" i="1"/>
  <c r="K105" i="1"/>
  <c r="L105" i="1"/>
  <c r="M105" i="1"/>
  <c r="N105" i="1"/>
  <c r="O105" i="1"/>
  <c r="P105" i="1"/>
  <c r="Q105" i="1"/>
  <c r="G106" i="1"/>
  <c r="H106" i="1"/>
  <c r="I106" i="1"/>
  <c r="J106" i="1"/>
  <c r="K106" i="1"/>
  <c r="L106" i="1"/>
  <c r="M106" i="1"/>
  <c r="N106" i="1"/>
  <c r="O106" i="1"/>
  <c r="P106" i="1"/>
  <c r="Q106" i="1"/>
  <c r="N2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7" i="10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40" i="10"/>
  <c r="N141" i="10"/>
  <c r="N142" i="10"/>
  <c r="N143" i="10"/>
  <c r="N144" i="10"/>
  <c r="N145" i="10"/>
  <c r="N146" i="10"/>
  <c r="N147" i="10"/>
  <c r="N148" i="10"/>
  <c r="N149" i="10"/>
  <c r="N150" i="10"/>
  <c r="N151" i="10"/>
  <c r="N152" i="10"/>
  <c r="N153" i="10"/>
  <c r="N154" i="10"/>
  <c r="N155" i="10"/>
  <c r="N156" i="10"/>
  <c r="N157" i="10"/>
  <c r="D10" i="5"/>
  <c r="E10" i="5"/>
  <c r="F10" i="5"/>
  <c r="G10" i="5"/>
  <c r="H10" i="5"/>
  <c r="I10" i="5"/>
  <c r="J10" i="5"/>
  <c r="K10" i="5"/>
  <c r="L10" i="5"/>
  <c r="M10" i="5"/>
  <c r="N10" i="5"/>
  <c r="D12" i="5"/>
  <c r="E12" i="5"/>
  <c r="F12" i="5"/>
  <c r="G12" i="5"/>
  <c r="H12" i="5"/>
  <c r="I12" i="5"/>
  <c r="J12" i="5"/>
  <c r="K12" i="5"/>
  <c r="L12" i="5"/>
  <c r="M12" i="5"/>
  <c r="N12" i="5"/>
  <c r="D13" i="5"/>
  <c r="E13" i="5"/>
  <c r="F13" i="5"/>
  <c r="G13" i="5"/>
  <c r="H13" i="5"/>
  <c r="I13" i="5"/>
  <c r="J13" i="5"/>
  <c r="K13" i="5"/>
  <c r="L13" i="5"/>
  <c r="M13" i="5"/>
  <c r="N13" i="5"/>
  <c r="D14" i="5"/>
  <c r="E14" i="5"/>
  <c r="F14" i="5"/>
  <c r="G14" i="5"/>
  <c r="H14" i="5"/>
  <c r="I14" i="5"/>
  <c r="J14" i="5"/>
  <c r="K14" i="5"/>
  <c r="L14" i="5"/>
  <c r="M14" i="5"/>
  <c r="N14" i="5"/>
  <c r="D16" i="5"/>
  <c r="E16" i="5"/>
  <c r="F16" i="5"/>
  <c r="G16" i="5"/>
  <c r="H16" i="5"/>
  <c r="I16" i="5"/>
  <c r="J16" i="5"/>
  <c r="K16" i="5"/>
  <c r="L16" i="5"/>
  <c r="M16" i="5"/>
  <c r="N16" i="5"/>
  <c r="E27" i="5"/>
  <c r="E32" i="5"/>
  <c r="D35" i="5"/>
  <c r="E35" i="5"/>
  <c r="F35" i="5"/>
  <c r="G35" i="5"/>
  <c r="H35" i="5"/>
  <c r="D37" i="5"/>
  <c r="E37" i="5"/>
  <c r="F37" i="5"/>
  <c r="G37" i="5"/>
  <c r="H37" i="5"/>
  <c r="H38" i="5"/>
  <c r="D39" i="5"/>
  <c r="E39" i="5"/>
  <c r="F39" i="5"/>
  <c r="G39" i="5"/>
  <c r="H39" i="5"/>
  <c r="F41" i="5"/>
  <c r="D46" i="5"/>
  <c r="D48" i="5"/>
  <c r="D49" i="5"/>
  <c r="G51" i="5"/>
  <c r="E52" i="5"/>
  <c r="G53" i="5"/>
  <c r="E7" i="9"/>
  <c r="F7" i="9"/>
  <c r="G7" i="9"/>
  <c r="H7" i="9"/>
  <c r="I7" i="9"/>
  <c r="J7" i="9"/>
  <c r="K7" i="9"/>
  <c r="L7" i="9"/>
  <c r="M7" i="9"/>
  <c r="E8" i="9"/>
  <c r="F8" i="9"/>
  <c r="G8" i="9"/>
  <c r="H8" i="9"/>
  <c r="I8" i="9"/>
  <c r="J8" i="9"/>
  <c r="K8" i="9"/>
  <c r="L8" i="9"/>
  <c r="M8" i="9"/>
  <c r="E9" i="9"/>
  <c r="F9" i="9"/>
  <c r="G9" i="9"/>
  <c r="H9" i="9"/>
  <c r="I9" i="9"/>
  <c r="J9" i="9"/>
  <c r="K9" i="9"/>
  <c r="L9" i="9"/>
  <c r="M9" i="9"/>
  <c r="E10" i="9"/>
  <c r="F10" i="9"/>
  <c r="G10" i="9"/>
  <c r="H10" i="9"/>
  <c r="I10" i="9"/>
  <c r="J10" i="9"/>
  <c r="K10" i="9"/>
  <c r="L10" i="9"/>
  <c r="M10" i="9"/>
  <c r="E11" i="9"/>
  <c r="F11" i="9"/>
  <c r="G11" i="9"/>
  <c r="H11" i="9"/>
  <c r="I11" i="9"/>
  <c r="J11" i="9"/>
  <c r="K11" i="9"/>
  <c r="L11" i="9"/>
  <c r="M11" i="9"/>
  <c r="E12" i="9"/>
  <c r="F12" i="9"/>
  <c r="G12" i="9"/>
  <c r="H12" i="9"/>
  <c r="I12" i="9"/>
  <c r="J12" i="9"/>
  <c r="K12" i="9"/>
  <c r="L12" i="9"/>
  <c r="M12" i="9"/>
  <c r="E13" i="9"/>
  <c r="F13" i="9"/>
  <c r="G13" i="9"/>
  <c r="H13" i="9"/>
  <c r="I13" i="9"/>
  <c r="J13" i="9"/>
  <c r="K13" i="9"/>
  <c r="L13" i="9"/>
  <c r="M13" i="9"/>
  <c r="E14" i="9"/>
  <c r="F14" i="9"/>
  <c r="G14" i="9"/>
  <c r="H14" i="9"/>
  <c r="I14" i="9"/>
  <c r="J14" i="9"/>
  <c r="K14" i="9"/>
  <c r="L14" i="9"/>
  <c r="M14" i="9"/>
  <c r="E15" i="9"/>
  <c r="F15" i="9"/>
  <c r="G15" i="9"/>
  <c r="H15" i="9"/>
  <c r="I15" i="9"/>
  <c r="J15" i="9"/>
  <c r="K15" i="9"/>
  <c r="L15" i="9"/>
  <c r="M15" i="9"/>
  <c r="E8" i="7"/>
  <c r="F8" i="7"/>
  <c r="G8" i="7"/>
  <c r="H8" i="7"/>
  <c r="I8" i="7"/>
  <c r="J8" i="7"/>
  <c r="E9" i="7"/>
  <c r="F9" i="7"/>
  <c r="G9" i="7"/>
  <c r="H9" i="7"/>
  <c r="I9" i="7"/>
  <c r="J9" i="7"/>
  <c r="E11" i="7"/>
  <c r="F11" i="7"/>
  <c r="G11" i="7"/>
  <c r="H11" i="7"/>
  <c r="I11" i="7"/>
  <c r="J11" i="7"/>
  <c r="E13" i="7"/>
  <c r="F13" i="7"/>
  <c r="G13" i="7"/>
  <c r="H13" i="7"/>
  <c r="I13" i="7"/>
  <c r="J13" i="7"/>
  <c r="E14" i="7"/>
  <c r="F14" i="7"/>
  <c r="G14" i="7"/>
  <c r="H14" i="7"/>
  <c r="I14" i="7"/>
  <c r="J14" i="7"/>
  <c r="E16" i="7"/>
  <c r="F16" i="7"/>
  <c r="G16" i="7"/>
  <c r="H16" i="7"/>
  <c r="I16" i="7"/>
  <c r="J16" i="7"/>
  <c r="E18" i="7"/>
  <c r="F18" i="7"/>
  <c r="G18" i="7"/>
  <c r="H18" i="7"/>
  <c r="I18" i="7"/>
  <c r="J18" i="7"/>
  <c r="E19" i="7"/>
  <c r="F19" i="7"/>
  <c r="G19" i="7"/>
  <c r="H19" i="7"/>
  <c r="I19" i="7"/>
  <c r="J19" i="7"/>
  <c r="E21" i="7"/>
  <c r="F21" i="7"/>
  <c r="G21" i="7"/>
  <c r="H21" i="7"/>
  <c r="I21" i="7"/>
  <c r="J21" i="7"/>
  <c r="E24" i="7"/>
  <c r="F24" i="7"/>
  <c r="G24" i="7"/>
  <c r="H24" i="7"/>
  <c r="I24" i="7"/>
  <c r="J24" i="7"/>
  <c r="J7" i="4"/>
  <c r="K7" i="4"/>
  <c r="L7" i="4"/>
  <c r="M7" i="4"/>
  <c r="N7" i="4"/>
  <c r="E8" i="4"/>
  <c r="F8" i="4"/>
  <c r="G8" i="4"/>
  <c r="H8" i="4"/>
  <c r="I8" i="4"/>
  <c r="J8" i="4"/>
  <c r="K8" i="4"/>
  <c r="L8" i="4"/>
  <c r="M8" i="4"/>
  <c r="N8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J13" i="4"/>
  <c r="K13" i="4"/>
  <c r="L13" i="4"/>
  <c r="M13" i="4"/>
  <c r="N13" i="4"/>
  <c r="D14" i="4"/>
  <c r="E14" i="4"/>
  <c r="F14" i="4"/>
  <c r="G14" i="4"/>
  <c r="H14" i="4"/>
  <c r="I14" i="4"/>
  <c r="J14" i="4"/>
  <c r="K14" i="4"/>
  <c r="M14" i="4"/>
  <c r="N14" i="4"/>
  <c r="D15" i="4"/>
  <c r="E15" i="4"/>
  <c r="F15" i="4"/>
  <c r="G15" i="4"/>
  <c r="H15" i="4"/>
  <c r="I15" i="4"/>
  <c r="J15" i="4"/>
  <c r="K15" i="4"/>
  <c r="L15" i="4"/>
  <c r="M15" i="4"/>
  <c r="N15" i="4"/>
  <c r="D16" i="4"/>
  <c r="E16" i="4"/>
  <c r="F16" i="4"/>
  <c r="G16" i="4"/>
  <c r="H16" i="4"/>
  <c r="I16" i="4"/>
  <c r="J16" i="4"/>
  <c r="K16" i="4"/>
  <c r="L16" i="4"/>
  <c r="M16" i="4"/>
  <c r="N16" i="4"/>
  <c r="E17" i="4"/>
  <c r="F17" i="4"/>
  <c r="G17" i="4"/>
  <c r="H17" i="4"/>
  <c r="I17" i="4"/>
  <c r="J17" i="4"/>
  <c r="K17" i="4"/>
  <c r="L17" i="4"/>
  <c r="M17" i="4"/>
  <c r="N17" i="4"/>
  <c r="D19" i="4"/>
  <c r="E19" i="4"/>
  <c r="F19" i="4"/>
  <c r="G19" i="4"/>
  <c r="H19" i="4"/>
  <c r="I19" i="4"/>
  <c r="J19" i="4"/>
  <c r="K19" i="4"/>
  <c r="L19" i="4"/>
  <c r="M19" i="4"/>
  <c r="N19" i="4"/>
  <c r="D20" i="4"/>
  <c r="E20" i="4"/>
  <c r="F20" i="4"/>
  <c r="G20" i="4"/>
  <c r="H20" i="4"/>
  <c r="I20" i="4"/>
  <c r="J20" i="4"/>
  <c r="K20" i="4"/>
  <c r="L20" i="4"/>
  <c r="M20" i="4"/>
  <c r="N20" i="4"/>
  <c r="J22" i="4"/>
  <c r="K22" i="4"/>
  <c r="L22" i="4"/>
  <c r="M22" i="4"/>
  <c r="N22" i="4"/>
  <c r="D23" i="4"/>
  <c r="E23" i="4"/>
  <c r="F23" i="4"/>
  <c r="G23" i="4"/>
  <c r="H23" i="4"/>
  <c r="I23" i="4"/>
  <c r="J23" i="4"/>
  <c r="K23" i="4"/>
  <c r="L23" i="4"/>
  <c r="M23" i="4"/>
  <c r="N23" i="4"/>
  <c r="D31" i="4"/>
  <c r="E31" i="4"/>
  <c r="F31" i="4"/>
  <c r="G31" i="4"/>
  <c r="H31" i="4"/>
  <c r="I31" i="4"/>
  <c r="J31" i="4"/>
  <c r="K31" i="4"/>
  <c r="L31" i="4"/>
  <c r="M31" i="4"/>
  <c r="N31" i="4"/>
  <c r="D32" i="4"/>
  <c r="E32" i="4"/>
  <c r="F32" i="4"/>
  <c r="G32" i="4"/>
  <c r="H32" i="4"/>
  <c r="I32" i="4"/>
  <c r="J32" i="4"/>
  <c r="K32" i="4"/>
  <c r="L32" i="4"/>
  <c r="M32" i="4"/>
  <c r="N32" i="4"/>
  <c r="D34" i="4"/>
  <c r="E34" i="4"/>
  <c r="F34" i="4"/>
  <c r="G34" i="4"/>
  <c r="H34" i="4"/>
  <c r="I34" i="4"/>
  <c r="J34" i="4"/>
  <c r="K34" i="4"/>
  <c r="L34" i="4"/>
  <c r="M34" i="4"/>
  <c r="N34" i="4"/>
  <c r="J35" i="4"/>
  <c r="K35" i="4"/>
  <c r="L35" i="4"/>
  <c r="M35" i="4"/>
  <c r="N35" i="4"/>
  <c r="D36" i="4"/>
  <c r="E36" i="4"/>
  <c r="F36" i="4"/>
  <c r="G36" i="4"/>
  <c r="H36" i="4"/>
  <c r="I36" i="4"/>
  <c r="J36" i="4"/>
  <c r="K36" i="4"/>
  <c r="L36" i="4"/>
  <c r="M36" i="4"/>
  <c r="N36" i="4"/>
  <c r="D38" i="4"/>
  <c r="E38" i="4"/>
  <c r="F38" i="4"/>
  <c r="G38" i="4"/>
  <c r="H38" i="4"/>
  <c r="I38" i="4"/>
  <c r="J38" i="4"/>
  <c r="K38" i="4"/>
  <c r="L38" i="4"/>
  <c r="M38" i="4"/>
  <c r="N38" i="4"/>
  <c r="D39" i="4"/>
  <c r="E39" i="4"/>
  <c r="F39" i="4"/>
  <c r="G39" i="4"/>
  <c r="H39" i="4"/>
  <c r="I39" i="4"/>
  <c r="J39" i="4"/>
  <c r="K39" i="4"/>
  <c r="L39" i="4"/>
  <c r="M39" i="4"/>
  <c r="N39" i="4"/>
  <c r="D44" i="4"/>
  <c r="E44" i="4"/>
  <c r="F44" i="4"/>
  <c r="G44" i="4"/>
  <c r="H44" i="4"/>
  <c r="I44" i="4"/>
  <c r="J44" i="4"/>
  <c r="K44" i="4"/>
  <c r="L44" i="4"/>
  <c r="M44" i="4"/>
  <c r="N44" i="4"/>
  <c r="D45" i="4"/>
  <c r="E45" i="4"/>
  <c r="F45" i="4"/>
  <c r="G45" i="4"/>
  <c r="H45" i="4"/>
  <c r="I45" i="4"/>
  <c r="J45" i="4"/>
  <c r="K45" i="4"/>
  <c r="L45" i="4"/>
  <c r="M45" i="4"/>
  <c r="N45" i="4"/>
  <c r="E46" i="4"/>
  <c r="F46" i="4"/>
  <c r="G46" i="4"/>
  <c r="H46" i="4"/>
  <c r="I46" i="4"/>
  <c r="J46" i="4"/>
  <c r="K46" i="4"/>
  <c r="L46" i="4"/>
  <c r="M46" i="4"/>
  <c r="N46" i="4"/>
  <c r="D48" i="4"/>
  <c r="E48" i="4"/>
  <c r="F48" i="4"/>
  <c r="G48" i="4"/>
  <c r="H48" i="4"/>
  <c r="I48" i="4"/>
  <c r="J48" i="4"/>
  <c r="K48" i="4"/>
  <c r="L48" i="4"/>
  <c r="M48" i="4"/>
  <c r="N48" i="4"/>
  <c r="D49" i="4"/>
  <c r="E49" i="4"/>
  <c r="F49" i="4"/>
  <c r="G49" i="4"/>
  <c r="H49" i="4"/>
  <c r="I49" i="4"/>
  <c r="J49" i="4"/>
  <c r="K49" i="4"/>
  <c r="L49" i="4"/>
  <c r="M49" i="4"/>
  <c r="N49" i="4"/>
  <c r="E50" i="4"/>
  <c r="F50" i="4"/>
  <c r="G50" i="4"/>
  <c r="H50" i="4"/>
  <c r="I50" i="4"/>
  <c r="J50" i="4"/>
  <c r="K50" i="4"/>
  <c r="L50" i="4"/>
  <c r="M50" i="4"/>
  <c r="N50" i="4"/>
  <c r="D55" i="4"/>
  <c r="E55" i="4"/>
  <c r="F55" i="4"/>
  <c r="G55" i="4"/>
  <c r="H55" i="4"/>
  <c r="I55" i="4"/>
  <c r="J55" i="4"/>
  <c r="K55" i="4"/>
  <c r="L55" i="4"/>
  <c r="M55" i="4"/>
  <c r="N55" i="4"/>
  <c r="D56" i="4"/>
  <c r="E56" i="4"/>
  <c r="F56" i="4"/>
  <c r="G56" i="4"/>
  <c r="H56" i="4"/>
  <c r="I56" i="4"/>
  <c r="J56" i="4"/>
  <c r="K56" i="4"/>
  <c r="L56" i="4"/>
  <c r="M56" i="4"/>
  <c r="N56" i="4"/>
  <c r="D57" i="4"/>
  <c r="E57" i="4"/>
  <c r="F57" i="4"/>
  <c r="G57" i="4"/>
  <c r="H57" i="4"/>
  <c r="I57" i="4"/>
  <c r="J57" i="4"/>
  <c r="K57" i="4"/>
  <c r="L57" i="4"/>
  <c r="M57" i="4"/>
  <c r="N57" i="4"/>
  <c r="D59" i="4"/>
  <c r="E59" i="4"/>
  <c r="F59" i="4"/>
  <c r="G59" i="4"/>
  <c r="H59" i="4"/>
  <c r="I59" i="4"/>
  <c r="J59" i="4"/>
  <c r="K59" i="4"/>
  <c r="L59" i="4"/>
  <c r="M59" i="4"/>
  <c r="N59" i="4"/>
  <c r="C3" i="14"/>
  <c r="D3" i="14"/>
  <c r="E3" i="14"/>
  <c r="F3" i="14"/>
  <c r="G3" i="14"/>
  <c r="H3" i="14"/>
  <c r="C4" i="14"/>
  <c r="D4" i="14"/>
  <c r="E4" i="14"/>
  <c r="F4" i="14"/>
  <c r="G4" i="14"/>
  <c r="H4" i="14"/>
  <c r="E6" i="3"/>
  <c r="F6" i="3"/>
  <c r="G6" i="3"/>
  <c r="H6" i="3"/>
  <c r="I6" i="3"/>
  <c r="J6" i="3"/>
  <c r="K6" i="3"/>
  <c r="L6" i="3"/>
  <c r="M6" i="3"/>
  <c r="N6" i="3"/>
  <c r="O6" i="3"/>
  <c r="E7" i="3"/>
  <c r="F7" i="3"/>
  <c r="G7" i="3"/>
  <c r="H7" i="3"/>
  <c r="I7" i="3"/>
  <c r="J7" i="3"/>
  <c r="K7" i="3"/>
  <c r="L7" i="3"/>
  <c r="M7" i="3"/>
  <c r="N7" i="3"/>
  <c r="O7" i="3"/>
  <c r="E9" i="3"/>
  <c r="F9" i="3"/>
  <c r="G9" i="3"/>
  <c r="H9" i="3"/>
  <c r="I9" i="3"/>
  <c r="J9" i="3"/>
  <c r="K9" i="3"/>
  <c r="L9" i="3"/>
  <c r="M9" i="3"/>
  <c r="N9" i="3"/>
  <c r="O9" i="3"/>
  <c r="F10" i="3"/>
  <c r="G10" i="3"/>
  <c r="H10" i="3"/>
  <c r="I10" i="3"/>
  <c r="J10" i="3"/>
  <c r="K10" i="3"/>
  <c r="L10" i="3"/>
  <c r="M10" i="3"/>
  <c r="N10" i="3"/>
  <c r="O10" i="3"/>
  <c r="C17" i="3"/>
  <c r="E17" i="3"/>
  <c r="F17" i="3"/>
  <c r="G17" i="3"/>
  <c r="H17" i="3"/>
  <c r="I17" i="3"/>
  <c r="J17" i="3"/>
  <c r="K17" i="3"/>
  <c r="L17" i="3"/>
  <c r="M17" i="3"/>
  <c r="N17" i="3"/>
  <c r="O17" i="3"/>
  <c r="C18" i="3"/>
  <c r="E18" i="3"/>
  <c r="F18" i="3"/>
  <c r="G18" i="3"/>
  <c r="H18" i="3"/>
  <c r="I18" i="3"/>
  <c r="J18" i="3"/>
  <c r="K18" i="3"/>
  <c r="L18" i="3"/>
  <c r="M18" i="3"/>
  <c r="N18" i="3"/>
  <c r="O18" i="3"/>
  <c r="C19" i="3"/>
  <c r="E19" i="3"/>
  <c r="F19" i="3"/>
  <c r="G19" i="3"/>
  <c r="H19" i="3"/>
  <c r="I19" i="3"/>
  <c r="J19" i="3"/>
  <c r="K19" i="3"/>
  <c r="L19" i="3"/>
  <c r="M19" i="3"/>
  <c r="N19" i="3"/>
  <c r="O19" i="3"/>
  <c r="E20" i="3"/>
  <c r="F20" i="3"/>
  <c r="G20" i="3"/>
  <c r="H20" i="3"/>
  <c r="I20" i="3"/>
  <c r="J20" i="3"/>
  <c r="K20" i="3"/>
  <c r="L20" i="3"/>
  <c r="M20" i="3"/>
  <c r="N20" i="3"/>
  <c r="O20" i="3"/>
  <c r="C22" i="3"/>
  <c r="E22" i="3"/>
  <c r="F22" i="3"/>
  <c r="G22" i="3"/>
  <c r="H22" i="3"/>
  <c r="I22" i="3"/>
  <c r="J22" i="3"/>
  <c r="K22" i="3"/>
  <c r="L22" i="3"/>
  <c r="M22" i="3"/>
  <c r="N22" i="3"/>
  <c r="O22" i="3"/>
  <c r="C23" i="3"/>
  <c r="E23" i="3"/>
  <c r="F23" i="3"/>
  <c r="G23" i="3"/>
  <c r="H23" i="3"/>
  <c r="I23" i="3"/>
  <c r="J23" i="3"/>
  <c r="K23" i="3"/>
  <c r="L23" i="3"/>
  <c r="M23" i="3"/>
  <c r="N23" i="3"/>
  <c r="O23" i="3"/>
  <c r="C24" i="3"/>
  <c r="E24" i="3"/>
  <c r="F24" i="3"/>
  <c r="G24" i="3"/>
  <c r="H24" i="3"/>
  <c r="I24" i="3"/>
  <c r="J24" i="3"/>
  <c r="K24" i="3"/>
  <c r="L24" i="3"/>
  <c r="M24" i="3"/>
  <c r="N24" i="3"/>
  <c r="O24" i="3"/>
  <c r="E25" i="3"/>
  <c r="F25" i="3"/>
  <c r="G25" i="3"/>
  <c r="H25" i="3"/>
  <c r="I25" i="3"/>
  <c r="J25" i="3"/>
  <c r="K25" i="3"/>
  <c r="L25" i="3"/>
  <c r="M25" i="3"/>
  <c r="N25" i="3"/>
  <c r="O25" i="3"/>
  <c r="E26" i="3"/>
  <c r="F26" i="3"/>
  <c r="G26" i="3"/>
  <c r="H26" i="3"/>
  <c r="I26" i="3"/>
  <c r="J26" i="3"/>
  <c r="K26" i="3"/>
  <c r="L26" i="3"/>
  <c r="M26" i="3"/>
  <c r="N26" i="3"/>
  <c r="O26" i="3"/>
  <c r="F28" i="3"/>
  <c r="G28" i="3"/>
  <c r="H28" i="3"/>
  <c r="I28" i="3"/>
  <c r="J28" i="3"/>
  <c r="K28" i="3"/>
  <c r="L28" i="3"/>
  <c r="M28" i="3"/>
  <c r="N28" i="3"/>
  <c r="O28" i="3"/>
  <c r="G8" i="8"/>
  <c r="H8" i="8"/>
  <c r="I8" i="8"/>
  <c r="J8" i="8"/>
  <c r="K8" i="8"/>
  <c r="L8" i="8"/>
  <c r="M8" i="8"/>
  <c r="N8" i="8"/>
  <c r="O8" i="8"/>
  <c r="P8" i="8"/>
  <c r="F12" i="8"/>
  <c r="G12" i="8"/>
  <c r="H12" i="8"/>
  <c r="I12" i="8"/>
  <c r="J12" i="8"/>
  <c r="K12" i="8"/>
  <c r="L12" i="8"/>
  <c r="M12" i="8"/>
  <c r="N12" i="8"/>
  <c r="O12" i="8"/>
  <c r="P12" i="8"/>
  <c r="F14" i="8"/>
  <c r="G14" i="8"/>
  <c r="H14" i="8"/>
  <c r="I14" i="8"/>
  <c r="J14" i="8"/>
  <c r="K14" i="8"/>
  <c r="L14" i="8"/>
  <c r="M14" i="8"/>
  <c r="N14" i="8"/>
  <c r="O14" i="8"/>
  <c r="P14" i="8"/>
  <c r="F15" i="8"/>
  <c r="G15" i="8"/>
  <c r="H15" i="8"/>
  <c r="I15" i="8"/>
  <c r="J15" i="8"/>
  <c r="K15" i="8"/>
  <c r="L15" i="8"/>
  <c r="M15" i="8"/>
  <c r="N15" i="8"/>
  <c r="O15" i="8"/>
  <c r="P15" i="8"/>
  <c r="G19" i="8"/>
  <c r="H19" i="8"/>
  <c r="I19" i="8"/>
  <c r="J19" i="8"/>
  <c r="K19" i="8"/>
  <c r="G20" i="8"/>
  <c r="H20" i="8"/>
  <c r="I20" i="8"/>
  <c r="J20" i="8"/>
  <c r="K20" i="8"/>
  <c r="H21" i="8"/>
  <c r="I21" i="8"/>
  <c r="J21" i="8"/>
  <c r="K21" i="8"/>
  <c r="G22" i="8"/>
  <c r="H22" i="8"/>
  <c r="I22" i="8"/>
  <c r="J22" i="8"/>
  <c r="K22" i="8"/>
  <c r="L22" i="8"/>
  <c r="M22" i="8"/>
  <c r="N22" i="8"/>
  <c r="O22" i="8"/>
  <c r="P22" i="8"/>
  <c r="H23" i="8"/>
  <c r="I23" i="8"/>
  <c r="J23" i="8"/>
  <c r="K23" i="8"/>
  <c r="L23" i="8"/>
  <c r="M23" i="8"/>
  <c r="N23" i="8"/>
  <c r="O23" i="8"/>
  <c r="P23" i="8"/>
  <c r="L25" i="8"/>
  <c r="M25" i="8"/>
  <c r="N25" i="8"/>
  <c r="O25" i="8"/>
  <c r="P25" i="8"/>
  <c r="F26" i="8"/>
  <c r="G26" i="8"/>
  <c r="H26" i="8"/>
  <c r="I26" i="8"/>
  <c r="J26" i="8"/>
  <c r="K26" i="8"/>
  <c r="M26" i="8"/>
  <c r="N26" i="8"/>
  <c r="O26" i="8"/>
  <c r="P26" i="8"/>
  <c r="D18" i="11"/>
  <c r="J9" i="2"/>
  <c r="J10" i="2"/>
  <c r="J11" i="2"/>
  <c r="J12" i="2"/>
  <c r="J13" i="2"/>
  <c r="J17" i="2"/>
  <c r="J18" i="2"/>
  <c r="F19" i="2"/>
  <c r="I19" i="2"/>
  <c r="J19" i="2"/>
  <c r="J20" i="2"/>
  <c r="J21" i="2"/>
  <c r="J22" i="2"/>
  <c r="J23" i="2"/>
  <c r="J24" i="2"/>
  <c r="J25" i="2"/>
  <c r="F26" i="2"/>
  <c r="G26" i="2"/>
  <c r="J27" i="2"/>
  <c r="J28" i="2"/>
  <c r="J29" i="2"/>
  <c r="J30" i="2"/>
  <c r="J31" i="2"/>
  <c r="J32" i="2"/>
  <c r="F33" i="2"/>
  <c r="G33" i="2"/>
  <c r="H33" i="2"/>
  <c r="I33" i="2"/>
  <c r="J33" i="2"/>
  <c r="J34" i="2"/>
  <c r="J35" i="2"/>
  <c r="J36" i="2"/>
  <c r="J37" i="2"/>
  <c r="J38" i="2"/>
  <c r="J39" i="2"/>
  <c r="F40" i="2"/>
  <c r="G40" i="2"/>
  <c r="H40" i="2"/>
  <c r="I40" i="2"/>
  <c r="J40" i="2"/>
  <c r="J41" i="2"/>
  <c r="J42" i="2"/>
  <c r="J43" i="2"/>
  <c r="J44" i="2"/>
  <c r="J45" i="2"/>
  <c r="J46" i="2"/>
  <c r="F47" i="2"/>
  <c r="G47" i="2"/>
  <c r="H47" i="2"/>
  <c r="I47" i="2"/>
  <c r="J47" i="2"/>
  <c r="I48" i="2"/>
  <c r="J48" i="2"/>
  <c r="J49" i="2"/>
  <c r="J50" i="2"/>
  <c r="J51" i="2"/>
  <c r="J52" i="2"/>
  <c r="J53" i="2"/>
  <c r="F54" i="2"/>
  <c r="G54" i="2"/>
  <c r="H54" i="2"/>
  <c r="I54" i="2"/>
  <c r="J54" i="2"/>
  <c r="I55" i="2"/>
  <c r="J55" i="2"/>
  <c r="J56" i="2"/>
  <c r="J57" i="2"/>
  <c r="J58" i="2"/>
  <c r="J59" i="2"/>
  <c r="J60" i="2"/>
  <c r="F61" i="2"/>
  <c r="G61" i="2"/>
  <c r="H61" i="2"/>
  <c r="I61" i="2"/>
  <c r="J61" i="2"/>
  <c r="I62" i="2"/>
  <c r="J62" i="2"/>
  <c r="J63" i="2"/>
  <c r="J64" i="2"/>
  <c r="J65" i="2"/>
  <c r="J66" i="2"/>
  <c r="J67" i="2"/>
  <c r="F68" i="2"/>
  <c r="G68" i="2"/>
  <c r="H68" i="2"/>
  <c r="I68" i="2"/>
  <c r="J68" i="2"/>
  <c r="I69" i="2"/>
  <c r="J69" i="2"/>
  <c r="J70" i="2"/>
  <c r="J71" i="2"/>
  <c r="J72" i="2"/>
  <c r="J73" i="2"/>
  <c r="J74" i="2"/>
  <c r="F75" i="2"/>
  <c r="G75" i="2"/>
  <c r="H75" i="2"/>
  <c r="I75" i="2"/>
  <c r="J75" i="2"/>
  <c r="I76" i="2"/>
  <c r="J76" i="2"/>
  <c r="J77" i="2"/>
  <c r="J78" i="2"/>
  <c r="J79" i="2"/>
  <c r="J80" i="2"/>
  <c r="J81" i="2"/>
  <c r="F82" i="2"/>
  <c r="G82" i="2"/>
  <c r="H82" i="2"/>
  <c r="I82" i="2"/>
  <c r="J82" i="2"/>
</calcChain>
</file>

<file path=xl/comments1.xml><?xml version="1.0" encoding="utf-8"?>
<comments xmlns="http://schemas.openxmlformats.org/spreadsheetml/2006/main">
  <authors>
    <author xml:space="preserve"> </author>
  </authors>
  <commentList>
    <comment ref="I11" authorId="0" shapeId="0">
      <text>
        <r>
          <rPr>
            <b/>
            <sz val="8"/>
            <color indexed="81"/>
            <rFont val="Tahoma"/>
          </rPr>
          <t xml:space="preserve"> : DeRose 2006 10-K</t>
        </r>
        <r>
          <rPr>
            <sz val="8"/>
            <color indexed="81"/>
            <rFont val="Tahoma"/>
          </rPr>
          <t xml:space="preserve">
21.3% increase due to increased volume, increased costs associated with subhauling, and abnormal costs as a result of hurricanes Katrina and Rita ($14.1mil), approx. 16% increase w/o hurricanes
</t>
        </r>
      </text>
    </comment>
  </commentList>
</comments>
</file>

<file path=xl/sharedStrings.xml><?xml version="1.0" encoding="utf-8"?>
<sst xmlns="http://schemas.openxmlformats.org/spreadsheetml/2006/main" count="469" uniqueCount="242">
  <si>
    <t>Balance Sheet</t>
  </si>
  <si>
    <t>Assets</t>
  </si>
  <si>
    <t>FY 2006</t>
  </si>
  <si>
    <t>FY 2005</t>
  </si>
  <si>
    <t>Current Assets</t>
  </si>
  <si>
    <t>Cash and Cash equivalents</t>
  </si>
  <si>
    <t>Short-term investments</t>
  </si>
  <si>
    <t>Accounts receivable, net</t>
  </si>
  <si>
    <t>Vehicle pooling costs</t>
  </si>
  <si>
    <t>Income taxes receivable</t>
  </si>
  <si>
    <t>Total current assets</t>
  </si>
  <si>
    <t>Property and equipment, net</t>
  </si>
  <si>
    <t>Intangibles, net</t>
  </si>
  <si>
    <t>Goodwill</t>
  </si>
  <si>
    <t>Deferred income taxes</t>
  </si>
  <si>
    <t>Land purchase options and other assets</t>
  </si>
  <si>
    <t>Total assets</t>
  </si>
  <si>
    <t>Accounts payable and accrued liabilities</t>
  </si>
  <si>
    <t>Deferred revenue</t>
  </si>
  <si>
    <t>Income taxes payable</t>
  </si>
  <si>
    <t>Other current liabilities</t>
  </si>
  <si>
    <t>Total current liabilities</t>
  </si>
  <si>
    <t>Other liabilities</t>
  </si>
  <si>
    <t>Total liabilities</t>
  </si>
  <si>
    <t>Transportation and other equipment</t>
  </si>
  <si>
    <t>Office furniture and equpiment</t>
  </si>
  <si>
    <t>Land</t>
  </si>
  <si>
    <t>Buildings and leasehold improvements</t>
  </si>
  <si>
    <t>Less:</t>
  </si>
  <si>
    <t>Accumulated depreciation and amortization</t>
  </si>
  <si>
    <t>Total P&amp;E</t>
  </si>
  <si>
    <t>Trade accounts payable</t>
  </si>
  <si>
    <t>Accounts payable to insur. Co.</t>
  </si>
  <si>
    <t>Accrued insurance</t>
  </si>
  <si>
    <t>Accrued compensation and benefits</t>
  </si>
  <si>
    <t>Other accrued liabilities</t>
  </si>
  <si>
    <t>Total accounts payable</t>
  </si>
  <si>
    <t>Advance charges receivable</t>
  </si>
  <si>
    <t>Trade accounts receivable</t>
  </si>
  <si>
    <t>Other receivable</t>
  </si>
  <si>
    <t>Allowance for doubtful accounts</t>
  </si>
  <si>
    <t>Total accounts receivable</t>
  </si>
  <si>
    <t>Prepaid expenses</t>
  </si>
  <si>
    <t>Shareholders Equity</t>
  </si>
  <si>
    <t>Balances at July 31, 2003</t>
  </si>
  <si>
    <t>Amount</t>
  </si>
  <si>
    <t>Retained Earnings</t>
  </si>
  <si>
    <t>Net income</t>
  </si>
  <si>
    <t>Currency translation adjustment</t>
  </si>
  <si>
    <t>Comprehensive income</t>
  </si>
  <si>
    <t>Exercise of stock options and related tax benefit, net of repurchased shares</t>
  </si>
  <si>
    <t>Shares issued for employee stock repurchase plan</t>
  </si>
  <si>
    <t>Shares repurchase</t>
  </si>
  <si>
    <t>Balances at July 31, 2004</t>
  </si>
  <si>
    <t>Balances at July 31, 2005</t>
  </si>
  <si>
    <t>Balances at July 31, 2006</t>
  </si>
  <si>
    <t>Liabilities and Shareholders Equity</t>
  </si>
  <si>
    <t>Sanity Check</t>
  </si>
  <si>
    <t>Liabilities and Shareholders equity</t>
  </si>
  <si>
    <t>Equal?</t>
  </si>
  <si>
    <t>Covenants not to compete</t>
  </si>
  <si>
    <t>Less accumulated amortization</t>
  </si>
  <si>
    <t>Total Intangibles, net</t>
  </si>
  <si>
    <t>FY 2004</t>
  </si>
  <si>
    <t>Property and equipment held for sale</t>
  </si>
  <si>
    <t>FY 2003</t>
  </si>
  <si>
    <t>Current portion of long-term debt</t>
  </si>
  <si>
    <t>Long-term debt, less current portion</t>
  </si>
  <si>
    <t>FY 2002</t>
  </si>
  <si>
    <t>Balances at July 31, 2002</t>
  </si>
  <si>
    <t>FY 2001</t>
  </si>
  <si>
    <t>Balances at July 31, 2001</t>
  </si>
  <si>
    <t>Shares issued for acquisitions</t>
  </si>
  <si>
    <t>Shares</t>
  </si>
  <si>
    <t>Shares issued for land pur.</t>
  </si>
  <si>
    <t>Shares issued in connection with public offering</t>
  </si>
  <si>
    <t>Accumulated other - Comprehensive income</t>
  </si>
  <si>
    <t>Income Statement</t>
  </si>
  <si>
    <t>Revenues</t>
  </si>
  <si>
    <t>Yard operations</t>
  </si>
  <si>
    <t>General and administrative</t>
  </si>
  <si>
    <t>Total operating expenses</t>
  </si>
  <si>
    <t>Operating income</t>
  </si>
  <si>
    <t>Other income</t>
  </si>
  <si>
    <t>Interest expense</t>
  </si>
  <si>
    <t>Interest income</t>
  </si>
  <si>
    <t>Gain (loss) on sale of fleet equipment</t>
  </si>
  <si>
    <t>Equity in losses of unconsolidated investment</t>
  </si>
  <si>
    <t>Total other income</t>
  </si>
  <si>
    <t>Income from continuing operations before income taxes</t>
  </si>
  <si>
    <t>Income taxes</t>
  </si>
  <si>
    <t>Operating costs and expenses:</t>
  </si>
  <si>
    <t>Other income (expense):</t>
  </si>
  <si>
    <t>Income from continuing operations</t>
  </si>
  <si>
    <t>Discontinued operations:</t>
  </si>
  <si>
    <t>Income (loss) from discontinued operations, net of income tax effects</t>
  </si>
  <si>
    <t>Per Share Anaylsis</t>
  </si>
  <si>
    <t>Earnings per share - basic</t>
  </si>
  <si>
    <t>Income (loss) from discontinued operations</t>
  </si>
  <si>
    <t>Diluted net income per share</t>
  </si>
  <si>
    <t>Weighted ave. shares and dilutive potential common shares outstanding</t>
  </si>
  <si>
    <t>Depreciation and amortization</t>
  </si>
  <si>
    <t>operating margin</t>
  </si>
  <si>
    <t>tax rate</t>
  </si>
  <si>
    <t>net profit margin</t>
  </si>
  <si>
    <t>yoy % increase</t>
  </si>
  <si>
    <t>% of revenues</t>
  </si>
  <si>
    <t>yoy % growth</t>
  </si>
  <si>
    <t>% of total assets</t>
  </si>
  <si>
    <t>% of total accounts receivable</t>
  </si>
  <si>
    <t>% of total expenses</t>
  </si>
  <si>
    <t>% of total P&amp;E</t>
  </si>
  <si>
    <t>Current liabilities:</t>
  </si>
  <si>
    <t>% of LT Debt</t>
  </si>
  <si>
    <t>% of EBT</t>
  </si>
  <si>
    <t>% yoy growth</t>
  </si>
  <si>
    <t>Net Working Capital</t>
  </si>
  <si>
    <t>Current liabilities</t>
  </si>
  <si>
    <t>Net working capital</t>
  </si>
  <si>
    <t>Δ in NWC</t>
  </si>
  <si>
    <t>DCF Analysis</t>
  </si>
  <si>
    <t>Step 1: Calculate FCF</t>
  </si>
  <si>
    <t>Plus:</t>
  </si>
  <si>
    <t>Depreciation</t>
  </si>
  <si>
    <t>Capital expenditures</t>
  </si>
  <si>
    <t>FCF</t>
  </si>
  <si>
    <t>Step 2: Calulate WACC</t>
  </si>
  <si>
    <t>Assumptions</t>
  </si>
  <si>
    <t xml:space="preserve">Revenues </t>
  </si>
  <si>
    <t>FY 2007</t>
  </si>
  <si>
    <t>FY 2008</t>
  </si>
  <si>
    <t>FY 2009</t>
  </si>
  <si>
    <t>FY 2010</t>
  </si>
  <si>
    <t>Expenses</t>
  </si>
  <si>
    <t>DuPont Analysis</t>
  </si>
  <si>
    <t>Total assets over</t>
  </si>
  <si>
    <t>Total equity</t>
  </si>
  <si>
    <t>= Equity muliplier</t>
  </si>
  <si>
    <t>=Total asset turnover</t>
  </si>
  <si>
    <t>Revenues over</t>
  </si>
  <si>
    <t>Net income over</t>
  </si>
  <si>
    <t>=Profit margin</t>
  </si>
  <si>
    <t>EM*TAT*PM</t>
  </si>
  <si>
    <t>=Return on equity</t>
  </si>
  <si>
    <t>FY 2011</t>
  </si>
  <si>
    <t xml:space="preserve">Tax rate </t>
  </si>
  <si>
    <t>as % of property</t>
  </si>
  <si>
    <t>Accounts receivable as % of revenues</t>
  </si>
  <si>
    <t>Vehicle pooling costs as % of revenues</t>
  </si>
  <si>
    <t>Prepaid expenses as % of total expenses</t>
  </si>
  <si>
    <t>Short term investments as % of revenues</t>
  </si>
  <si>
    <t>Property and equipment yoy growth</t>
  </si>
  <si>
    <t>Goodwill yoy % growth</t>
  </si>
  <si>
    <t>Liabilities</t>
  </si>
  <si>
    <t>Long Term Debt</t>
  </si>
  <si>
    <t>Accounts payable and accrued liabilities as % of revenues</t>
  </si>
  <si>
    <t>Income taxes payable as % of EBT</t>
  </si>
  <si>
    <t>Deferred income taxes as % of EBT</t>
  </si>
  <si>
    <t>Other current liabilities as % of revenues</t>
  </si>
  <si>
    <t>Other liabilities as % of revenues</t>
  </si>
  <si>
    <t xml:space="preserve">we = </t>
  </si>
  <si>
    <t xml:space="preserve">wd = </t>
  </si>
  <si>
    <t xml:space="preserve">β = </t>
  </si>
  <si>
    <t xml:space="preserve">Tax = </t>
  </si>
  <si>
    <t xml:space="preserve">MRP = </t>
  </si>
  <si>
    <t xml:space="preserve">rf = </t>
  </si>
  <si>
    <t>ke =</t>
  </si>
  <si>
    <t>Step 3: Calculate enterprice value</t>
  </si>
  <si>
    <t>L-T Growth rate</t>
  </si>
  <si>
    <t>WACC</t>
  </si>
  <si>
    <t>kd =</t>
  </si>
  <si>
    <t>Terminal</t>
  </si>
  <si>
    <t>PV FCF</t>
  </si>
  <si>
    <t xml:space="preserve">Total equity value = </t>
  </si>
  <si>
    <t>Step 4: Subract L-T Debt and Divide by Shares Outstanding</t>
  </si>
  <si>
    <t xml:space="preserve">Total Equity Value = </t>
  </si>
  <si>
    <t>L-T Debt</t>
  </si>
  <si>
    <t>=Firm intrinsic value</t>
  </si>
  <si>
    <t xml:space="preserve">Over: </t>
  </si>
  <si>
    <t>Common shares outstanding</t>
  </si>
  <si>
    <t>= Value per common share</t>
  </si>
  <si>
    <t>+10 %</t>
  </si>
  <si>
    <t>-10 %</t>
  </si>
  <si>
    <t>Total operating expenses yoy growth</t>
  </si>
  <si>
    <t>Yard operations as % of revenues</t>
  </si>
  <si>
    <t>General and administrative as % of revenue</t>
  </si>
  <si>
    <t>Depreciation as % of fixed assets</t>
  </si>
  <si>
    <t>Openings and Acquisitions</t>
  </si>
  <si>
    <t>Beg of year</t>
  </si>
  <si>
    <t>Acquired</t>
  </si>
  <si>
    <t>Opened</t>
  </si>
  <si>
    <t>End of year</t>
  </si>
  <si>
    <t>Revenue from acquired</t>
  </si>
  <si>
    <t>Revenue from opened</t>
  </si>
  <si>
    <t>CapEx</t>
  </si>
  <si>
    <t>CapEx/Aquired and opened</t>
  </si>
  <si>
    <t>Total</t>
  </si>
  <si>
    <t>DCF Sensitivity Analysis</t>
  </si>
  <si>
    <t>Revenue from sale store operation</t>
  </si>
  <si>
    <t>yoy % revenue growth</t>
  </si>
  <si>
    <t>yoy % revenue growth per store opened</t>
  </si>
  <si>
    <t>yoy % revenue growth per store acquired</t>
  </si>
  <si>
    <t>Operating current assets</t>
  </si>
  <si>
    <t>Total operating assets</t>
  </si>
  <si>
    <t>Operating current liabilities</t>
  </si>
  <si>
    <t>% of revenue</t>
  </si>
  <si>
    <t>P&amp;E as % of revenue</t>
  </si>
  <si>
    <t>Total other income as % of revenues</t>
  </si>
  <si>
    <t>Net income *Without discontinued operations*</t>
  </si>
  <si>
    <t>Estimated</t>
  </si>
  <si>
    <t>Estimated Balances at July 31, 2007</t>
  </si>
  <si>
    <t>Estimated Balances at July 31, 2008</t>
  </si>
  <si>
    <t>Estimated Balances at July 31, 2009</t>
  </si>
  <si>
    <t>Estimated Balances at July 31, 2010</t>
  </si>
  <si>
    <t>Estimated Balances at July 31, 2011</t>
  </si>
  <si>
    <t>Deferred revenue as % of revenues</t>
  </si>
  <si>
    <t>Terminal Growth Rate</t>
  </si>
  <si>
    <t>Net openings</t>
  </si>
  <si>
    <t>Closed</t>
  </si>
  <si>
    <t>Date</t>
  </si>
  <si>
    <t>AEE</t>
  </si>
  <si>
    <t>AEOS</t>
  </si>
  <si>
    <t>CPRT</t>
  </si>
  <si>
    <t>FR</t>
  </si>
  <si>
    <t>JKHY</t>
  </si>
  <si>
    <t>JPM</t>
  </si>
  <si>
    <t>KMB</t>
  </si>
  <si>
    <t>MVSN</t>
  </si>
  <si>
    <t>MS</t>
  </si>
  <si>
    <t>SRCL</t>
  </si>
  <si>
    <t>SRZ</t>
  </si>
  <si>
    <t>WAG</t>
  </si>
  <si>
    <t>Portfolio</t>
  </si>
  <si>
    <t>Ticker</t>
  </si>
  <si>
    <t>MV</t>
  </si>
  <si>
    <t>=Total</t>
  </si>
  <si>
    <t>Porter's 5 Forces</t>
  </si>
  <si>
    <t xml:space="preserve">Estimated </t>
  </si>
  <si>
    <t>Total current assets in *Estimated Years*</t>
  </si>
  <si>
    <t>Operating margins</t>
  </si>
  <si>
    <t>Net profit margins</t>
  </si>
  <si>
    <t>Presented December 5, 2006 by Daniel J. DeRose Jr.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</si>
</sst>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%"/>
    <numFmt numFmtId="167" formatCode="0.000"/>
    <numFmt numFmtId="168" formatCode="_(* #,##0.0_);_(* \(#,##0.0\);_(* &quot;-&quot;??_);_(@_)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4"/>
      <name val="Arial"/>
      <family val="2"/>
    </font>
    <font>
      <sz val="12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</font>
    <font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15"/>
      <color indexed="10"/>
      <name val="Arial"/>
      <family val="2"/>
    </font>
    <font>
      <sz val="10"/>
      <color indexed="13"/>
      <name val="Arial"/>
      <family val="2"/>
    </font>
    <font>
      <sz val="10"/>
      <color indexed="11"/>
      <name val="Arial"/>
    </font>
    <font>
      <b/>
      <sz val="10"/>
      <color indexed="52"/>
      <name val="Arial"/>
      <family val="2"/>
    </font>
    <font>
      <b/>
      <sz val="11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164" fontId="3" fillId="2" borderId="0" xfId="1" applyNumberFormat="1" applyFont="1" applyFill="1"/>
    <xf numFmtId="164" fontId="6" fillId="0" borderId="0" xfId="1" applyNumberFormat="1" applyFont="1"/>
    <xf numFmtId="164" fontId="5" fillId="3" borderId="0" xfId="1" applyNumberFormat="1" applyFont="1" applyFill="1"/>
    <xf numFmtId="164" fontId="4" fillId="3" borderId="0" xfId="1" applyNumberFormat="1" applyFont="1" applyFill="1"/>
    <xf numFmtId="164" fontId="0" fillId="0" borderId="0" xfId="1" applyNumberFormat="1" applyFont="1"/>
    <xf numFmtId="164" fontId="0" fillId="0" borderId="0" xfId="1" applyNumberFormat="1" applyFont="1" applyAlignment="1">
      <alignment wrapText="1"/>
    </xf>
    <xf numFmtId="164" fontId="0" fillId="0" borderId="0" xfId="1" applyNumberFormat="1" applyFont="1" applyAlignment="1">
      <alignment horizontal="center" wrapText="1"/>
    </xf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/>
    <xf numFmtId="164" fontId="0" fillId="0" borderId="2" xfId="1" applyNumberFormat="1" applyFont="1" applyBorder="1"/>
    <xf numFmtId="43" fontId="0" fillId="0" borderId="0" xfId="1" applyNumberFormat="1" applyFont="1"/>
    <xf numFmtId="43" fontId="0" fillId="0" borderId="2" xfId="1" applyNumberFormat="1" applyFont="1" applyBorder="1"/>
    <xf numFmtId="164" fontId="0" fillId="0" borderId="0" xfId="1" applyNumberFormat="1" applyFont="1" applyBorder="1"/>
    <xf numFmtId="164" fontId="8" fillId="0" borderId="0" xfId="1" applyNumberFormat="1" applyFont="1"/>
    <xf numFmtId="164" fontId="8" fillId="0" borderId="0" xfId="1" applyNumberFormat="1" applyFont="1" applyAlignment="1">
      <alignment horizontal="right"/>
    </xf>
    <xf numFmtId="164" fontId="2" fillId="0" borderId="0" xfId="1" applyNumberFormat="1" applyFont="1"/>
    <xf numFmtId="164" fontId="7" fillId="0" borderId="0" xfId="1" applyNumberFormat="1" applyFont="1"/>
    <xf numFmtId="9" fontId="2" fillId="0" borderId="1" xfId="4" applyFont="1" applyBorder="1"/>
    <xf numFmtId="9" fontId="2" fillId="0" borderId="0" xfId="4" applyFont="1"/>
    <xf numFmtId="164" fontId="9" fillId="0" borderId="0" xfId="1" applyNumberFormat="1" applyFont="1" applyAlignment="1">
      <alignment horizontal="right"/>
    </xf>
    <xf numFmtId="9" fontId="2" fillId="0" borderId="0" xfId="4" applyFont="1" applyBorder="1"/>
    <xf numFmtId="9" fontId="2" fillId="0" borderId="0" xfId="4" applyNumberFormat="1" applyFont="1"/>
    <xf numFmtId="9" fontId="2" fillId="0" borderId="1" xfId="4" applyNumberFormat="1" applyFont="1" applyBorder="1"/>
    <xf numFmtId="0" fontId="2" fillId="0" borderId="0" xfId="0" applyFont="1"/>
    <xf numFmtId="164" fontId="8" fillId="0" borderId="0" xfId="1" applyNumberFormat="1" applyFont="1" applyAlignment="1">
      <alignment horizontal="left"/>
    </xf>
    <xf numFmtId="164" fontId="9" fillId="0" borderId="0" xfId="1" applyNumberFormat="1" applyFont="1" applyAlignment="1">
      <alignment horizontal="left"/>
    </xf>
    <xf numFmtId="9" fontId="9" fillId="0" borderId="0" xfId="4" applyFont="1" applyAlignment="1">
      <alignment horizontal="left"/>
    </xf>
    <xf numFmtId="164" fontId="10" fillId="0" borderId="0" xfId="1" applyNumberFormat="1" applyFont="1"/>
    <xf numFmtId="0" fontId="7" fillId="0" borderId="0" xfId="0" applyFont="1"/>
    <xf numFmtId="9" fontId="7" fillId="0" borderId="0" xfId="4" applyFont="1"/>
    <xf numFmtId="166" fontId="2" fillId="0" borderId="0" xfId="4" applyNumberFormat="1" applyFont="1"/>
    <xf numFmtId="164" fontId="9" fillId="0" borderId="0" xfId="1" applyNumberFormat="1" applyFont="1"/>
    <xf numFmtId="0" fontId="3" fillId="2" borderId="0" xfId="0" applyFont="1" applyFill="1"/>
    <xf numFmtId="0" fontId="6" fillId="0" borderId="0" xfId="0" applyFont="1"/>
    <xf numFmtId="9" fontId="0" fillId="0" borderId="0" xfId="0" applyNumberFormat="1"/>
    <xf numFmtId="9" fontId="0" fillId="0" borderId="0" xfId="4" applyFont="1"/>
    <xf numFmtId="164" fontId="6" fillId="0" borderId="0" xfId="1" quotePrefix="1" applyNumberFormat="1" applyFont="1"/>
    <xf numFmtId="10" fontId="0" fillId="0" borderId="0" xfId="4" applyNumberFormat="1" applyFont="1"/>
    <xf numFmtId="164" fontId="0" fillId="0" borderId="3" xfId="1" applyNumberFormat="1" applyFont="1" applyBorder="1"/>
    <xf numFmtId="9" fontId="0" fillId="0" borderId="3" xfId="4" applyFont="1" applyBorder="1"/>
    <xf numFmtId="164" fontId="0" fillId="0" borderId="3" xfId="1" quotePrefix="1" applyNumberFormat="1" applyFont="1" applyBorder="1"/>
    <xf numFmtId="164" fontId="2" fillId="0" borderId="0" xfId="1" applyNumberFormat="1" applyFont="1" applyAlignment="1">
      <alignment horizontal="right"/>
    </xf>
    <xf numFmtId="165" fontId="0" fillId="0" borderId="0" xfId="4" applyNumberFormat="1" applyFont="1"/>
    <xf numFmtId="10" fontId="2" fillId="0" borderId="0" xfId="4" applyNumberFormat="1" applyFont="1"/>
    <xf numFmtId="10" fontId="0" fillId="0" borderId="0" xfId="0" applyNumberFormat="1"/>
    <xf numFmtId="164" fontId="0" fillId="0" borderId="0" xfId="1" quotePrefix="1" applyNumberFormat="1" applyFont="1"/>
    <xf numFmtId="44" fontId="0" fillId="0" borderId="0" xfId="2" applyFont="1"/>
    <xf numFmtId="9" fontId="3" fillId="2" borderId="0" xfId="4" applyFont="1" applyFill="1"/>
    <xf numFmtId="165" fontId="6" fillId="0" borderId="4" xfId="4" applyNumberFormat="1" applyFont="1" applyBorder="1"/>
    <xf numFmtId="9" fontId="6" fillId="0" borderId="4" xfId="4" applyNumberFormat="1" applyFont="1" applyBorder="1"/>
    <xf numFmtId="9" fontId="6" fillId="0" borderId="4" xfId="4" applyFont="1" applyBorder="1"/>
    <xf numFmtId="10" fontId="6" fillId="0" borderId="4" xfId="4" applyNumberFormat="1" applyFont="1" applyBorder="1"/>
    <xf numFmtId="164" fontId="3" fillId="4" borderId="0" xfId="1" applyNumberFormat="1" applyFont="1" applyFill="1"/>
    <xf numFmtId="164" fontId="6" fillId="4" borderId="0" xfId="1" applyNumberFormat="1" applyFont="1" applyFill="1"/>
    <xf numFmtId="164" fontId="0" fillId="4" borderId="0" xfId="1" applyNumberFormat="1" applyFont="1" applyFill="1"/>
    <xf numFmtId="9" fontId="2" fillId="4" borderId="0" xfId="4" applyFont="1" applyFill="1"/>
    <xf numFmtId="164" fontId="0" fillId="4" borderId="1" xfId="1" applyNumberFormat="1" applyFont="1" applyFill="1" applyBorder="1"/>
    <xf numFmtId="9" fontId="2" fillId="4" borderId="0" xfId="4" applyFont="1" applyFill="1" applyBorder="1"/>
    <xf numFmtId="10" fontId="2" fillId="4" borderId="0" xfId="4" applyNumberFormat="1" applyFont="1" applyFill="1"/>
    <xf numFmtId="9" fontId="2" fillId="4" borderId="1" xfId="4" applyFont="1" applyFill="1" applyBorder="1"/>
    <xf numFmtId="164" fontId="2" fillId="4" borderId="0" xfId="1" applyNumberFormat="1" applyFont="1" applyFill="1"/>
    <xf numFmtId="164" fontId="0" fillId="4" borderId="2" xfId="1" applyNumberFormat="1" applyFont="1" applyFill="1" applyBorder="1"/>
    <xf numFmtId="43" fontId="0" fillId="4" borderId="0" xfId="1" applyNumberFormat="1" applyFont="1" applyFill="1"/>
    <xf numFmtId="43" fontId="0" fillId="4" borderId="2" xfId="1" applyNumberFormat="1" applyFont="1" applyFill="1" applyBorder="1"/>
    <xf numFmtId="164" fontId="0" fillId="4" borderId="0" xfId="1" applyNumberFormat="1" applyFont="1" applyFill="1" applyAlignment="1">
      <alignment wrapText="1"/>
    </xf>
    <xf numFmtId="164" fontId="13" fillId="4" borderId="0" xfId="1" applyNumberFormat="1" applyFont="1" applyFill="1"/>
    <xf numFmtId="166" fontId="2" fillId="4" borderId="0" xfId="4" applyNumberFormat="1" applyFont="1" applyFill="1"/>
    <xf numFmtId="9" fontId="7" fillId="4" borderId="0" xfId="4" applyFont="1" applyFill="1"/>
    <xf numFmtId="9" fontId="0" fillId="4" borderId="0" xfId="4" applyFont="1" applyFill="1"/>
    <xf numFmtId="0" fontId="3" fillId="4" borderId="0" xfId="0" applyFont="1" applyFill="1"/>
    <xf numFmtId="0" fontId="0" fillId="4" borderId="0" xfId="0" applyFill="1"/>
    <xf numFmtId="0" fontId="6" fillId="4" borderId="0" xfId="0" applyFont="1" applyFill="1"/>
    <xf numFmtId="9" fontId="0" fillId="4" borderId="0" xfId="0" applyNumberFormat="1" applyFill="1"/>
    <xf numFmtId="10" fontId="0" fillId="4" borderId="0" xfId="0" applyNumberFormat="1" applyFill="1"/>
    <xf numFmtId="10" fontId="0" fillId="4" borderId="0" xfId="4" applyNumberFormat="1" applyFont="1" applyFill="1"/>
    <xf numFmtId="44" fontId="0" fillId="0" borderId="4" xfId="2" applyFont="1" applyBorder="1"/>
    <xf numFmtId="0" fontId="5" fillId="0" borderId="0" xfId="0" applyFont="1"/>
    <xf numFmtId="9" fontId="0" fillId="4" borderId="0" xfId="4" applyNumberFormat="1" applyFont="1" applyFill="1"/>
    <xf numFmtId="164" fontId="5" fillId="0" borderId="0" xfId="1" applyNumberFormat="1" applyFont="1" applyFill="1"/>
    <xf numFmtId="164" fontId="0" fillId="0" borderId="0" xfId="1" applyNumberFormat="1" applyFont="1" applyFill="1"/>
    <xf numFmtId="0" fontId="10" fillId="0" borderId="0" xfId="3"/>
    <xf numFmtId="0" fontId="14" fillId="0" borderId="5" xfId="3" applyFont="1" applyFill="1" applyBorder="1" applyAlignment="1">
      <alignment horizontal="center"/>
    </xf>
    <xf numFmtId="0" fontId="13" fillId="0" borderId="5" xfId="3" applyFont="1" applyFill="1" applyBorder="1" applyAlignment="1">
      <alignment horizontal="center"/>
    </xf>
    <xf numFmtId="15" fontId="10" fillId="0" borderId="0" xfId="3" applyNumberFormat="1"/>
    <xf numFmtId="10" fontId="10" fillId="0" borderId="0" xfId="4" applyNumberFormat="1" applyFont="1"/>
    <xf numFmtId="10" fontId="10" fillId="0" borderId="0" xfId="3" applyNumberFormat="1"/>
    <xf numFmtId="0" fontId="13" fillId="0" borderId="0" xfId="3" applyFont="1" applyFill="1" applyBorder="1" applyAlignment="1"/>
    <xf numFmtId="167" fontId="10" fillId="0" borderId="0" xfId="3" applyNumberFormat="1" applyFill="1" applyBorder="1" applyAlignment="1"/>
    <xf numFmtId="167" fontId="10" fillId="2" borderId="0" xfId="3" applyNumberFormat="1" applyFill="1" applyBorder="1" applyAlignment="1"/>
    <xf numFmtId="0" fontId="13" fillId="0" borderId="6" xfId="3" applyFont="1" applyFill="1" applyBorder="1" applyAlignment="1"/>
    <xf numFmtId="167" fontId="10" fillId="0" borderId="6" xfId="3" applyNumberFormat="1" applyFill="1" applyBorder="1" applyAlignment="1"/>
    <xf numFmtId="167" fontId="10" fillId="2" borderId="6" xfId="3" applyNumberFormat="1" applyFill="1" applyBorder="1" applyAlignment="1"/>
    <xf numFmtId="0" fontId="3" fillId="5" borderId="6" xfId="0" applyFont="1" applyFill="1" applyBorder="1"/>
    <xf numFmtId="168" fontId="0" fillId="4" borderId="0" xfId="1" applyNumberFormat="1" applyFont="1" applyFill="1"/>
    <xf numFmtId="164" fontId="5" fillId="4" borderId="0" xfId="1" applyNumberFormat="1" applyFont="1" applyFill="1"/>
    <xf numFmtId="164" fontId="13" fillId="0" borderId="0" xfId="1" applyNumberFormat="1" applyFont="1"/>
    <xf numFmtId="165" fontId="0" fillId="0" borderId="0" xfId="0" applyNumberFormat="1"/>
    <xf numFmtId="165" fontId="0" fillId="4" borderId="0" xfId="0" applyNumberFormat="1" applyFill="1"/>
    <xf numFmtId="165" fontId="0" fillId="4" borderId="0" xfId="4" applyNumberFormat="1" applyFont="1" applyFill="1"/>
    <xf numFmtId="164" fontId="19" fillId="4" borderId="0" xfId="1" applyNumberFormat="1" applyFont="1" applyFill="1"/>
    <xf numFmtId="44" fontId="0" fillId="4" borderId="4" xfId="2" applyFont="1" applyFill="1" applyBorder="1"/>
    <xf numFmtId="164" fontId="2" fillId="0" borderId="0" xfId="4" applyNumberFormat="1" applyFont="1"/>
    <xf numFmtId="164" fontId="0" fillId="0" borderId="0" xfId="1" applyNumberFormat="1" applyFont="1" applyAlignment="1">
      <alignment wrapText="1"/>
    </xf>
    <xf numFmtId="0" fontId="0" fillId="0" borderId="0" xfId="0" applyAlignment="1"/>
    <xf numFmtId="164" fontId="0" fillId="0" borderId="0" xfId="1" applyNumberFormat="1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_MVSN-112406" xfId="3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Market Portfolio</a:t>
            </a:r>
          </a:p>
        </c:rich>
      </c:tx>
      <c:layout>
        <c:manualLayout>
          <c:xMode val="edge"/>
          <c:yMode val="edge"/>
          <c:x val="0.34285748451200226"/>
          <c:y val="3.7931034482758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775538878685902"/>
          <c:y val="0.34827586206896549"/>
          <c:w val="0.26938802354514463"/>
          <c:h val="0.45517241379310347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F7A-45EE-8F78-0C83009CF914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F7A-45EE-8F78-0C83009CF91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F7A-45EE-8F78-0C83009CF91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F7A-45EE-8F78-0C83009CF914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F7A-45EE-8F78-0C83009CF91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F7A-45EE-8F78-0C83009CF914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F7A-45EE-8F78-0C83009CF914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F7A-45EE-8F78-0C83009CF914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F7A-45EE-8F78-0C83009CF914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F7A-45EE-8F78-0C83009CF914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F7A-45EE-8F78-0C83009CF914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F7A-45EE-8F78-0C83009CF914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'Portfolio Contribution'!$C$6:$C$17</c:f>
              <c:strCache>
                <c:ptCount val="12"/>
                <c:pt idx="0">
                  <c:v> AEE </c:v>
                </c:pt>
                <c:pt idx="1">
                  <c:v> AEOS </c:v>
                </c:pt>
                <c:pt idx="2">
                  <c:v> CPRT </c:v>
                </c:pt>
                <c:pt idx="3">
                  <c:v> FR </c:v>
                </c:pt>
                <c:pt idx="4">
                  <c:v> JKHY </c:v>
                </c:pt>
                <c:pt idx="5">
                  <c:v> JPM </c:v>
                </c:pt>
                <c:pt idx="6">
                  <c:v> KMB </c:v>
                </c:pt>
                <c:pt idx="7">
                  <c:v> MS </c:v>
                </c:pt>
                <c:pt idx="8">
                  <c:v> MVSN </c:v>
                </c:pt>
                <c:pt idx="9">
                  <c:v> SRCL </c:v>
                </c:pt>
                <c:pt idx="10">
                  <c:v> SRZ </c:v>
                </c:pt>
                <c:pt idx="11">
                  <c:v> WAG </c:v>
                </c:pt>
              </c:strCache>
            </c:strRef>
          </c:cat>
          <c:val>
            <c:numRef>
              <c:f>'Portfolio Contribution'!$D$6:$D$17</c:f>
              <c:numCache>
                <c:formatCode>_(* #,##0_);_(* \(#,##0\);_(* "-"??_);_(@_)</c:formatCode>
                <c:ptCount val="12"/>
                <c:pt idx="0">
                  <c:v>21916</c:v>
                </c:pt>
                <c:pt idx="1">
                  <c:v>59644</c:v>
                </c:pt>
                <c:pt idx="2">
                  <c:v>29800</c:v>
                </c:pt>
                <c:pt idx="3">
                  <c:v>49990</c:v>
                </c:pt>
                <c:pt idx="4">
                  <c:v>17288</c:v>
                </c:pt>
                <c:pt idx="5">
                  <c:v>42513</c:v>
                </c:pt>
                <c:pt idx="6">
                  <c:v>19902</c:v>
                </c:pt>
                <c:pt idx="7">
                  <c:v>30108</c:v>
                </c:pt>
                <c:pt idx="8">
                  <c:v>5516</c:v>
                </c:pt>
                <c:pt idx="9">
                  <c:v>14366</c:v>
                </c:pt>
                <c:pt idx="10">
                  <c:v>18978</c:v>
                </c:pt>
                <c:pt idx="11">
                  <c:v>20135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7A-45EE-8F78-0C83009CF91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673552767810078"/>
          <c:y val="1.7241379310344827E-2"/>
          <c:w val="0.14693892193371524"/>
          <c:h val="0.97241379310344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Margins</a:t>
            </a:r>
          </a:p>
        </c:rich>
      </c:tx>
      <c:layout>
        <c:manualLayout>
          <c:xMode val="edge"/>
          <c:yMode val="edge"/>
          <c:x val="0.43265349236038381"/>
          <c:y val="3.53357500133716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16337309009595"/>
          <c:y val="0.2332159500882531"/>
          <c:w val="0.55714341233200371"/>
          <c:h val="0.54770412520726108"/>
        </c:manualLayout>
      </c:layout>
      <c:lineChart>
        <c:grouping val="standard"/>
        <c:varyColors val="0"/>
        <c:ser>
          <c:idx val="0"/>
          <c:order val="0"/>
          <c:tx>
            <c:strRef>
              <c:f>Margins!$B$3</c:f>
              <c:strCache>
                <c:ptCount val="1"/>
                <c:pt idx="0">
                  <c:v>Operating margins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Margins!$C$2:$H$2</c:f>
              <c:strCache>
                <c:ptCount val="6"/>
                <c:pt idx="0">
                  <c:v>FY 2001</c:v>
                </c:pt>
                <c:pt idx="1">
                  <c:v>FY 2002</c:v>
                </c:pt>
                <c:pt idx="2">
                  <c:v>FY 2003</c:v>
                </c:pt>
                <c:pt idx="3">
                  <c:v>FY 2004</c:v>
                </c:pt>
                <c:pt idx="4">
                  <c:v>FY 2005</c:v>
                </c:pt>
                <c:pt idx="5">
                  <c:v>FY 2006</c:v>
                </c:pt>
              </c:strCache>
            </c:strRef>
          </c:cat>
          <c:val>
            <c:numRef>
              <c:f>Margins!$C$3:$H$3</c:f>
              <c:numCache>
                <c:formatCode>0%</c:formatCode>
                <c:ptCount val="6"/>
                <c:pt idx="0">
                  <c:v>0.32481517513559077</c:v>
                </c:pt>
                <c:pt idx="1">
                  <c:v>0.33574335768637664</c:v>
                </c:pt>
                <c:pt idx="2">
                  <c:v>0.27147598172832543</c:v>
                </c:pt>
                <c:pt idx="3">
                  <c:v>0.31830318096027255</c:v>
                </c:pt>
                <c:pt idx="4">
                  <c:v>0.34939729435754951</c:v>
                </c:pt>
                <c:pt idx="5">
                  <c:v>0.32457701992731347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99-42B6-BEBD-F283364C2FD7}"/>
            </c:ext>
          </c:extLst>
        </c:ser>
        <c:ser>
          <c:idx val="1"/>
          <c:order val="1"/>
          <c:tx>
            <c:strRef>
              <c:f>Margins!$B$4</c:f>
              <c:strCache>
                <c:ptCount val="1"/>
                <c:pt idx="0">
                  <c:v>Net profit margins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Margins!$C$2:$H$2</c:f>
              <c:strCache>
                <c:ptCount val="6"/>
                <c:pt idx="0">
                  <c:v>FY 2001</c:v>
                </c:pt>
                <c:pt idx="1">
                  <c:v>FY 2002</c:v>
                </c:pt>
                <c:pt idx="2">
                  <c:v>FY 2003</c:v>
                </c:pt>
                <c:pt idx="3">
                  <c:v>FY 2004</c:v>
                </c:pt>
                <c:pt idx="4">
                  <c:v>FY 2005</c:v>
                </c:pt>
                <c:pt idx="5">
                  <c:v>FY 2006</c:v>
                </c:pt>
              </c:strCache>
            </c:strRef>
          </c:cat>
          <c:val>
            <c:numRef>
              <c:f>Margins!$C$4:$H$4</c:f>
              <c:numCache>
                <c:formatCode>0%</c:formatCode>
                <c:ptCount val="6"/>
                <c:pt idx="0">
                  <c:v>0.22464541591010245</c:v>
                </c:pt>
                <c:pt idx="1">
                  <c:v>0.23288229643299543</c:v>
                </c:pt>
                <c:pt idx="2">
                  <c:v>0.17495963134277234</c:v>
                </c:pt>
                <c:pt idx="3">
                  <c:v>0.20201834205424871</c:v>
                </c:pt>
                <c:pt idx="4">
                  <c:v>0.22742003569107344</c:v>
                </c:pt>
                <c:pt idx="5">
                  <c:v>0.21314071335733514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99-42B6-BEBD-F283364C2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818912"/>
        <c:axId val="1"/>
      </c:lineChart>
      <c:catAx>
        <c:axId val="10781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18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775578738419507"/>
          <c:y val="0.43109615016313452"/>
          <c:w val="0.29591866222762098"/>
          <c:h val="0.151943725057498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4</xdr:row>
      <xdr:rowOff>104775</xdr:rowOff>
    </xdr:from>
    <xdr:to>
      <xdr:col>12</xdr:col>
      <xdr:colOff>276225</xdr:colOff>
      <xdr:row>21</xdr:row>
      <xdr:rowOff>114300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720B93F6-699A-48F1-A12E-F418F1610D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8</xdr:row>
      <xdr:rowOff>47625</xdr:rowOff>
    </xdr:from>
    <xdr:to>
      <xdr:col>10</xdr:col>
      <xdr:colOff>428625</xdr:colOff>
      <xdr:row>24</xdr:row>
      <xdr:rowOff>152400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38631038-874C-4755-8BD1-EE401E928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4</xdr:row>
      <xdr:rowOff>57150</xdr:rowOff>
    </xdr:from>
    <xdr:to>
      <xdr:col>13</xdr:col>
      <xdr:colOff>142875</xdr:colOff>
      <xdr:row>31</xdr:row>
      <xdr:rowOff>47625</xdr:rowOff>
    </xdr:to>
    <xdr:graphicFrame macro="">
      <xdr:nvGraphicFramePr>
        <xdr:cNvPr id="5121" name="Diagram 1">
          <a:extLst>
            <a:ext uri="{FF2B5EF4-FFF2-40B4-BE49-F238E27FC236}">
              <a16:creationId xmlns:a16="http://schemas.microsoft.com/office/drawing/2014/main" id="{83C557B8-34D5-4D85-8280-2F8B1A943A2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ompatibility">
          <com:legacyDrawing xmlns:com="http://schemas.openxmlformats.org/drawingml/2006/compatibility" spid="_x0000_s512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n/My%20Documents/filelib/School/Fin%20419/MVSN/JKHY(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n/My%20Documents/filelib/School/Fin%20419/MVSN/MVSN/JKHY(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 Financials"/>
      <sheetName val="Assumptions"/>
      <sheetName val="Raw Financials"/>
      <sheetName val="Sensitivity Analysis"/>
      <sheetName val="Ratio Analysis"/>
      <sheetName val="Notes"/>
    </sheetNames>
    <sheetDataSet>
      <sheetData sheetId="0"/>
      <sheetData sheetId="1">
        <row r="55">
          <cell r="A55" t="str">
            <v>NET INCOME</v>
          </cell>
          <cell r="B55">
            <v>31967.935811101845</v>
          </cell>
          <cell r="C55">
            <v>34017.039842373175</v>
          </cell>
          <cell r="D55">
            <v>55630.117908566477</v>
          </cell>
          <cell r="E55">
            <v>57064.712479066438</v>
          </cell>
          <cell r="F55">
            <v>49396.589949452085</v>
          </cell>
          <cell r="G55">
            <v>62314.233438745301</v>
          </cell>
          <cell r="H55">
            <v>75500.424825365219</v>
          </cell>
          <cell r="I55">
            <v>89922.680308963492</v>
          </cell>
          <cell r="J55">
            <v>101137.85061230943</v>
          </cell>
          <cell r="K55">
            <v>116657.99464020864</v>
          </cell>
          <cell r="L55">
            <v>133407.43614454789</v>
          </cell>
          <cell r="M55">
            <v>152871.7172011552</v>
          </cell>
          <cell r="N55">
            <v>176388.75750803156</v>
          </cell>
        </row>
        <row r="174">
          <cell r="A174" t="str">
            <v>Capital expenditures</v>
          </cell>
          <cell r="B174">
            <v>-38884</v>
          </cell>
          <cell r="C174">
            <v>-32619</v>
          </cell>
          <cell r="D174">
            <v>-57781</v>
          </cell>
          <cell r="E174">
            <v>-49509</v>
          </cell>
          <cell r="F174">
            <v>-45958</v>
          </cell>
          <cell r="G174">
            <v>-49141</v>
          </cell>
          <cell r="H174">
            <v>-58046</v>
          </cell>
          <cell r="I174">
            <v>-45396</v>
          </cell>
          <cell r="J174">
            <v>-55971.167596811647</v>
          </cell>
          <cell r="K174">
            <v>-64546.59450063944</v>
          </cell>
          <cell r="L174">
            <v>-73753.400121661354</v>
          </cell>
          <cell r="M174">
            <v>-84482.171916678184</v>
          </cell>
          <cell r="N174">
            <v>-97442.708431831736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 Financials"/>
      <sheetName val="Assumptions"/>
      <sheetName val="Raw Financials"/>
      <sheetName val="Sensitivity Analysis"/>
      <sheetName val="Ratio Analysis"/>
      <sheetName val="Notes"/>
    </sheetNames>
    <sheetDataSet>
      <sheetData sheetId="0"/>
      <sheetData sheetId="1">
        <row r="55">
          <cell r="A55" t="str">
            <v>NET INCOME</v>
          </cell>
          <cell r="B55">
            <v>31967.935811101845</v>
          </cell>
          <cell r="C55">
            <v>34017.039842373175</v>
          </cell>
          <cell r="D55">
            <v>55630.117908566477</v>
          </cell>
          <cell r="E55">
            <v>57064.712479066438</v>
          </cell>
          <cell r="F55">
            <v>49396.589949452085</v>
          </cell>
          <cell r="G55">
            <v>62314.233438745301</v>
          </cell>
          <cell r="H55">
            <v>75500.424825365219</v>
          </cell>
          <cell r="I55">
            <v>89922.680308963492</v>
          </cell>
          <cell r="J55">
            <v>101137.85061230943</v>
          </cell>
          <cell r="K55">
            <v>116657.99464020864</v>
          </cell>
          <cell r="L55">
            <v>133407.43614454789</v>
          </cell>
          <cell r="M55">
            <v>152871.7172011552</v>
          </cell>
          <cell r="N55">
            <v>176388.75750803156</v>
          </cell>
        </row>
        <row r="174">
          <cell r="A174" t="str">
            <v>Capital expenditures</v>
          </cell>
          <cell r="B174">
            <v>-38884</v>
          </cell>
          <cell r="C174">
            <v>-32619</v>
          </cell>
          <cell r="D174">
            <v>-57781</v>
          </cell>
          <cell r="E174">
            <v>-49509</v>
          </cell>
          <cell r="F174">
            <v>-45958</v>
          </cell>
          <cell r="G174">
            <v>-49141</v>
          </cell>
          <cell r="H174">
            <v>-58046</v>
          </cell>
          <cell r="I174">
            <v>-45396</v>
          </cell>
          <cell r="J174">
            <v>-55971.167596811647</v>
          </cell>
          <cell r="K174">
            <v>-64546.59450063944</v>
          </cell>
          <cell r="L174">
            <v>-73753.400121661354</v>
          </cell>
          <cell r="M174">
            <v>-84482.171916678184</v>
          </cell>
          <cell r="N174">
            <v>-97442.708431831736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9"/>
  <sheetViews>
    <sheetView tabSelected="1" workbookViewId="0">
      <pane xSplit="3" ySplit="5" topLeftCell="H6" activePane="bottomRight" state="frozen"/>
      <selection pane="topRight" activeCell="F1" sqref="F1"/>
      <selection pane="bottomLeft" activeCell="A6" sqref="A6"/>
      <selection pane="bottomRight" sqref="A1:C1"/>
    </sheetView>
  </sheetViews>
  <sheetFormatPr defaultRowHeight="12.75" x14ac:dyDescent="0.2"/>
  <cols>
    <col min="1" max="1" width="8.140625" style="5" customWidth="1"/>
    <col min="2" max="2" width="21" style="5" customWidth="1"/>
    <col min="3" max="3" width="20.140625" style="5" customWidth="1"/>
    <col min="4" max="9" width="11.28515625" style="5" bestFit="1" customWidth="1"/>
    <col min="10" max="13" width="11.28515625" style="55" bestFit="1" customWidth="1"/>
    <col min="14" max="14" width="10.28515625" style="55" bestFit="1" customWidth="1"/>
    <col min="15" max="16384" width="9.140625" style="5"/>
  </cols>
  <sheetData>
    <row r="1" spans="1:15" x14ac:dyDescent="0.2">
      <c r="A1" s="105" t="s">
        <v>241</v>
      </c>
      <c r="B1" s="105"/>
      <c r="C1" s="105"/>
      <c r="J1" s="80"/>
      <c r="K1" s="80"/>
      <c r="L1" s="80"/>
      <c r="M1" s="80"/>
      <c r="N1" s="80"/>
      <c r="O1" s="80"/>
    </row>
    <row r="2" spans="1:15" s="1" customFormat="1" ht="18" x14ac:dyDescent="0.25">
      <c r="A2" s="1" t="s">
        <v>77</v>
      </c>
      <c r="J2" s="53" t="s">
        <v>209</v>
      </c>
      <c r="K2" s="53"/>
      <c r="L2" s="53"/>
      <c r="M2" s="53"/>
      <c r="N2" s="53"/>
    </row>
    <row r="5" spans="1:15" s="2" customFormat="1" x14ac:dyDescent="0.2">
      <c r="D5" s="2" t="s">
        <v>70</v>
      </c>
      <c r="E5" s="2" t="s">
        <v>68</v>
      </c>
      <c r="F5" s="2" t="s">
        <v>65</v>
      </c>
      <c r="G5" s="2" t="s">
        <v>63</v>
      </c>
      <c r="H5" s="2" t="s">
        <v>3</v>
      </c>
      <c r="I5" s="2" t="s">
        <v>2</v>
      </c>
      <c r="J5" s="54" t="s">
        <v>129</v>
      </c>
      <c r="K5" s="54" t="s">
        <v>130</v>
      </c>
      <c r="L5" s="54" t="s">
        <v>131</v>
      </c>
      <c r="M5" s="54" t="s">
        <v>132</v>
      </c>
      <c r="N5" s="54" t="s">
        <v>144</v>
      </c>
    </row>
    <row r="7" spans="1:15" x14ac:dyDescent="0.2">
      <c r="A7" s="5" t="s">
        <v>78</v>
      </c>
      <c r="D7" s="5">
        <v>253889</v>
      </c>
      <c r="E7" s="5">
        <v>316456</v>
      </c>
      <c r="F7" s="5">
        <v>347423</v>
      </c>
      <c r="G7" s="5">
        <v>391014</v>
      </c>
      <c r="H7" s="5">
        <v>447731</v>
      </c>
      <c r="I7" s="5">
        <v>528571</v>
      </c>
      <c r="J7" s="55">
        <f>I7*(1+J8)</f>
        <v>634285.19999999995</v>
      </c>
      <c r="K7" s="55">
        <f>J7*(1+K8)</f>
        <v>729427.97999999986</v>
      </c>
      <c r="L7" s="55">
        <f>K7*(1+L8)</f>
        <v>853430.73659999983</v>
      </c>
      <c r="M7" s="55">
        <f>L7*(1+M8)</f>
        <v>1049719.8060179998</v>
      </c>
      <c r="N7" s="55">
        <f>M7*(1+N8)</f>
        <v>1217674.9749808796</v>
      </c>
    </row>
    <row r="8" spans="1:15" s="16" customFormat="1" ht="11.25" x14ac:dyDescent="0.2">
      <c r="B8" s="15" t="s">
        <v>107</v>
      </c>
      <c r="E8" s="19">
        <f>(E7/D7)-1</f>
        <v>0.24643446545537606</v>
      </c>
      <c r="F8" s="19">
        <f>(F7/E7)-1</f>
        <v>9.7855626058598988E-2</v>
      </c>
      <c r="G8" s="19">
        <f>(G7/F7)-1</f>
        <v>0.12546952849984017</v>
      </c>
      <c r="H8" s="19">
        <f>(H7/G7)-1</f>
        <v>0.14505107234012082</v>
      </c>
      <c r="I8" s="19">
        <f>(I7/H7)-1</f>
        <v>0.18055484208151773</v>
      </c>
      <c r="J8" s="56">
        <f>Assumptions!I7</f>
        <v>0.2</v>
      </c>
      <c r="K8" s="56">
        <f>Assumptions!J7</f>
        <v>0.15</v>
      </c>
      <c r="L8" s="56">
        <f>Assumptions!K7</f>
        <v>0.17</v>
      </c>
      <c r="M8" s="56">
        <f>Assumptions!L7</f>
        <v>0.23</v>
      </c>
      <c r="N8" s="56">
        <f>Assumptions!M7</f>
        <v>0.16</v>
      </c>
    </row>
    <row r="10" spans="1:15" x14ac:dyDescent="0.2">
      <c r="A10" s="5" t="s">
        <v>91</v>
      </c>
    </row>
    <row r="11" spans="1:15" x14ac:dyDescent="0.2">
      <c r="B11" s="5" t="s">
        <v>79</v>
      </c>
      <c r="D11" s="5">
        <v>152053</v>
      </c>
      <c r="E11" s="5">
        <v>186952</v>
      </c>
      <c r="F11" s="5">
        <v>224403</v>
      </c>
      <c r="G11" s="5">
        <f>227625</f>
        <v>227625</v>
      </c>
      <c r="H11" s="5">
        <f>245666</f>
        <v>245666</v>
      </c>
      <c r="I11" s="5">
        <f>298023</f>
        <v>298023</v>
      </c>
      <c r="J11" s="55">
        <f>J7*J12</f>
        <v>348856.86</v>
      </c>
      <c r="K11" s="55">
        <f>K7*K12</f>
        <v>408479.66879999998</v>
      </c>
      <c r="L11" s="55">
        <f>L7*L12</f>
        <v>477921.21249599993</v>
      </c>
      <c r="M11" s="55">
        <f>M7*M12</f>
        <v>587843.0913700799</v>
      </c>
      <c r="N11" s="55">
        <f>N7*N12</f>
        <v>681897.98598929262</v>
      </c>
    </row>
    <row r="12" spans="1:15" s="16" customFormat="1" ht="11.25" x14ac:dyDescent="0.2">
      <c r="B12" s="15" t="s">
        <v>106</v>
      </c>
      <c r="D12" s="22">
        <f t="shared" ref="D12:I12" si="0">D11/D7</f>
        <v>0.5988955803520436</v>
      </c>
      <c r="E12" s="22">
        <f t="shared" si="0"/>
        <v>0.59076775286295724</v>
      </c>
      <c r="F12" s="22">
        <f t="shared" si="0"/>
        <v>0.64590715064920856</v>
      </c>
      <c r="G12" s="22">
        <f t="shared" si="0"/>
        <v>0.58214028142214858</v>
      </c>
      <c r="H12" s="22">
        <f t="shared" si="0"/>
        <v>0.54869106673426682</v>
      </c>
      <c r="I12" s="22">
        <f t="shared" si="0"/>
        <v>0.56382775445493605</v>
      </c>
      <c r="J12" s="56">
        <f>Assumptions!I10</f>
        <v>0.55000000000000004</v>
      </c>
      <c r="K12" s="56">
        <f>Assumptions!J10</f>
        <v>0.56000000000000005</v>
      </c>
      <c r="L12" s="56">
        <f>Assumptions!K10</f>
        <v>0.56000000000000005</v>
      </c>
      <c r="M12" s="56">
        <f>Assumptions!L10</f>
        <v>0.56000000000000005</v>
      </c>
      <c r="N12" s="56">
        <f>Assumptions!M10</f>
        <v>0.56000000000000005</v>
      </c>
    </row>
    <row r="13" spans="1:15" x14ac:dyDescent="0.2">
      <c r="B13" s="5" t="s">
        <v>80</v>
      </c>
      <c r="D13" s="13">
        <v>19369</v>
      </c>
      <c r="E13" s="13">
        <v>23256</v>
      </c>
      <c r="F13" s="13">
        <v>28703</v>
      </c>
      <c r="G13" s="13">
        <v>38928</v>
      </c>
      <c r="H13" s="13">
        <v>45629</v>
      </c>
      <c r="I13" s="13">
        <v>58986</v>
      </c>
      <c r="J13" s="55">
        <f>J7*J14</f>
        <v>69771.371999999988</v>
      </c>
      <c r="K13" s="55">
        <f>K7*K14</f>
        <v>72942.797999999995</v>
      </c>
      <c r="L13" s="55">
        <f>L7*L14</f>
        <v>93877.381025999988</v>
      </c>
      <c r="M13" s="55">
        <f>M7*M14</f>
        <v>104971.98060179998</v>
      </c>
      <c r="N13" s="55">
        <f>N7*N14</f>
        <v>121767.49749808796</v>
      </c>
    </row>
    <row r="14" spans="1:15" s="16" customFormat="1" ht="11.25" x14ac:dyDescent="0.2">
      <c r="B14" s="15" t="s">
        <v>106</v>
      </c>
      <c r="D14" s="21">
        <f t="shared" ref="D14:I14" si="1">D13/D7</f>
        <v>7.6289244512365642E-2</v>
      </c>
      <c r="E14" s="21">
        <f t="shared" si="1"/>
        <v>7.3488889450666131E-2</v>
      </c>
      <c r="F14" s="21">
        <f t="shared" si="1"/>
        <v>8.2616867622465992E-2</v>
      </c>
      <c r="G14" s="21">
        <f t="shared" si="1"/>
        <v>9.9556537617578905E-2</v>
      </c>
      <c r="H14" s="21">
        <f t="shared" si="1"/>
        <v>0.10191163890818371</v>
      </c>
      <c r="I14" s="21">
        <f t="shared" si="1"/>
        <v>0.1115952256177505</v>
      </c>
      <c r="J14" s="56">
        <f>Assumptions!I11</f>
        <v>0.11</v>
      </c>
      <c r="K14" s="56">
        <f>Assumptions!J11</f>
        <v>0.1</v>
      </c>
      <c r="L14" s="56">
        <v>0.11</v>
      </c>
      <c r="M14" s="56">
        <f>Assumptions!L11</f>
        <v>0.1</v>
      </c>
      <c r="N14" s="56">
        <f>Assumptions!M11</f>
        <v>0.1</v>
      </c>
    </row>
    <row r="15" spans="1:15" x14ac:dyDescent="0.2">
      <c r="A15" s="5" t="s">
        <v>81</v>
      </c>
      <c r="D15" s="5">
        <f>D11+D13</f>
        <v>171422</v>
      </c>
      <c r="E15" s="5">
        <f>E11+E13</f>
        <v>210208</v>
      </c>
      <c r="F15" s="5">
        <f>F11+F13</f>
        <v>253106</v>
      </c>
      <c r="G15" s="5">
        <f>G11+G13</f>
        <v>266553</v>
      </c>
      <c r="H15" s="5">
        <f>H11+H13</f>
        <v>291295</v>
      </c>
      <c r="I15" s="5">
        <f t="shared" ref="I15:N15" si="2">I11+I13</f>
        <v>357009</v>
      </c>
      <c r="J15" s="55">
        <f t="shared" si="2"/>
        <v>418628.23199999996</v>
      </c>
      <c r="K15" s="55">
        <f t="shared" si="2"/>
        <v>481422.46679999999</v>
      </c>
      <c r="L15" s="55">
        <f t="shared" si="2"/>
        <v>571798.59352199989</v>
      </c>
      <c r="M15" s="55">
        <f t="shared" si="2"/>
        <v>692815.07197187992</v>
      </c>
      <c r="N15" s="55">
        <f t="shared" si="2"/>
        <v>803665.48348738055</v>
      </c>
    </row>
    <row r="16" spans="1:15" x14ac:dyDescent="0.2">
      <c r="B16" s="15" t="s">
        <v>106</v>
      </c>
      <c r="D16" s="19">
        <f t="shared" ref="D16:N16" si="3">D15/D7</f>
        <v>0.67518482486440923</v>
      </c>
      <c r="E16" s="19">
        <f t="shared" si="3"/>
        <v>0.66425664231362336</v>
      </c>
      <c r="F16" s="19">
        <f t="shared" si="3"/>
        <v>0.72852401827167457</v>
      </c>
      <c r="G16" s="19">
        <f t="shared" si="3"/>
        <v>0.68169681903972745</v>
      </c>
      <c r="H16" s="19">
        <f t="shared" si="3"/>
        <v>0.65060270564245049</v>
      </c>
      <c r="I16" s="19">
        <f t="shared" si="3"/>
        <v>0.67542298007268653</v>
      </c>
      <c r="J16" s="56">
        <f t="shared" si="3"/>
        <v>0.66</v>
      </c>
      <c r="K16" s="56">
        <f t="shared" si="3"/>
        <v>0.66000000000000014</v>
      </c>
      <c r="L16" s="56">
        <f t="shared" si="3"/>
        <v>0.67</v>
      </c>
      <c r="M16" s="56">
        <f t="shared" si="3"/>
        <v>0.66</v>
      </c>
      <c r="N16" s="56">
        <f t="shared" si="3"/>
        <v>0.66</v>
      </c>
    </row>
    <row r="17" spans="1:14" s="16" customFormat="1" x14ac:dyDescent="0.2">
      <c r="B17" s="15" t="s">
        <v>107</v>
      </c>
      <c r="D17" s="5"/>
      <c r="E17" s="19">
        <f>(E15/D15)-1</f>
        <v>0.22626033997969919</v>
      </c>
      <c r="F17" s="19">
        <f t="shared" ref="F17:N17" si="4">(F15/E15)-1</f>
        <v>0.20407405997868788</v>
      </c>
      <c r="G17" s="19">
        <f t="shared" si="4"/>
        <v>5.3127938492173232E-2</v>
      </c>
      <c r="H17" s="19">
        <f t="shared" si="4"/>
        <v>9.2822065405379073E-2</v>
      </c>
      <c r="I17" s="19">
        <f t="shared" si="4"/>
        <v>0.22559261230024541</v>
      </c>
      <c r="J17" s="56">
        <f t="shared" si="4"/>
        <v>0.17259853953261661</v>
      </c>
      <c r="K17" s="56">
        <f t="shared" si="4"/>
        <v>0.15000000000000013</v>
      </c>
      <c r="L17" s="56">
        <f t="shared" si="4"/>
        <v>0.18772727272727252</v>
      </c>
      <c r="M17" s="56">
        <f t="shared" si="4"/>
        <v>0.21164179104477632</v>
      </c>
      <c r="N17" s="56">
        <f t="shared" si="4"/>
        <v>0.1599999999999997</v>
      </c>
    </row>
    <row r="18" spans="1:14" x14ac:dyDescent="0.2">
      <c r="D18" s="9"/>
      <c r="E18" s="9"/>
      <c r="F18" s="9"/>
      <c r="G18" s="9"/>
      <c r="H18" s="9"/>
      <c r="I18" s="9"/>
      <c r="J18" s="57"/>
      <c r="K18" s="57"/>
      <c r="L18" s="57"/>
      <c r="M18" s="57"/>
      <c r="N18" s="57"/>
    </row>
    <row r="19" spans="1:14" x14ac:dyDescent="0.2">
      <c r="A19" s="5" t="s">
        <v>82</v>
      </c>
      <c r="D19" s="5">
        <f t="shared" ref="D19:N19" si="5">D7-D15</f>
        <v>82467</v>
      </c>
      <c r="E19" s="5">
        <f t="shared" si="5"/>
        <v>106248</v>
      </c>
      <c r="F19" s="5">
        <f t="shared" si="5"/>
        <v>94317</v>
      </c>
      <c r="G19" s="5">
        <f t="shared" si="5"/>
        <v>124461</v>
      </c>
      <c r="H19" s="5">
        <f t="shared" si="5"/>
        <v>156436</v>
      </c>
      <c r="I19" s="5">
        <f t="shared" si="5"/>
        <v>171562</v>
      </c>
      <c r="J19" s="55">
        <f t="shared" si="5"/>
        <v>215656.96799999999</v>
      </c>
      <c r="K19" s="55">
        <f t="shared" si="5"/>
        <v>248005.51319999987</v>
      </c>
      <c r="L19" s="55">
        <f t="shared" si="5"/>
        <v>281632.14307799994</v>
      </c>
      <c r="M19" s="55">
        <f t="shared" si="5"/>
        <v>356904.73404611985</v>
      </c>
      <c r="N19" s="55">
        <f t="shared" si="5"/>
        <v>414009.49149349902</v>
      </c>
    </row>
    <row r="20" spans="1:14" s="16" customFormat="1" ht="11.25" x14ac:dyDescent="0.2">
      <c r="B20" s="15" t="s">
        <v>102</v>
      </c>
      <c r="D20" s="19">
        <f t="shared" ref="D20:N20" si="6">D19/D7</f>
        <v>0.32481517513559077</v>
      </c>
      <c r="E20" s="19">
        <f t="shared" si="6"/>
        <v>0.33574335768637664</v>
      </c>
      <c r="F20" s="19">
        <f t="shared" si="6"/>
        <v>0.27147598172832543</v>
      </c>
      <c r="G20" s="19">
        <f t="shared" si="6"/>
        <v>0.31830318096027255</v>
      </c>
      <c r="H20" s="19">
        <f t="shared" si="6"/>
        <v>0.34939729435754951</v>
      </c>
      <c r="I20" s="19">
        <f t="shared" si="6"/>
        <v>0.32457701992731347</v>
      </c>
      <c r="J20" s="56">
        <f t="shared" si="6"/>
        <v>0.34</v>
      </c>
      <c r="K20" s="56">
        <f t="shared" si="6"/>
        <v>0.33999999999999986</v>
      </c>
      <c r="L20" s="56">
        <f t="shared" si="6"/>
        <v>0.33</v>
      </c>
      <c r="M20" s="56">
        <f t="shared" si="6"/>
        <v>0.33999999999999991</v>
      </c>
      <c r="N20" s="56">
        <f t="shared" si="6"/>
        <v>0.33999999999999997</v>
      </c>
    </row>
    <row r="21" spans="1:14" s="16" customFormat="1" ht="11.25" x14ac:dyDescent="0.2">
      <c r="B21" s="15"/>
      <c r="D21" s="19"/>
      <c r="E21" s="19"/>
      <c r="F21" s="102"/>
      <c r="G21" s="19"/>
      <c r="H21" s="19"/>
      <c r="I21" s="19"/>
      <c r="J21" s="56"/>
      <c r="K21" s="56"/>
      <c r="L21" s="56"/>
      <c r="M21" s="56"/>
      <c r="N21" s="56"/>
    </row>
    <row r="22" spans="1:14" x14ac:dyDescent="0.2">
      <c r="A22" s="5" t="s">
        <v>101</v>
      </c>
      <c r="D22" s="13">
        <v>14350</v>
      </c>
      <c r="E22" s="13">
        <v>16308</v>
      </c>
      <c r="F22" s="13">
        <v>25545</v>
      </c>
      <c r="G22" s="13">
        <v>29649</v>
      </c>
      <c r="H22" s="13">
        <v>30466</v>
      </c>
      <c r="I22" s="13">
        <v>31456</v>
      </c>
      <c r="J22" s="55">
        <f>'Balance Sheet'!M33*J23</f>
        <v>41862.823199999999</v>
      </c>
      <c r="K22" s="55">
        <f>'Balance Sheet'!N33*K23</f>
        <v>48142.246679999997</v>
      </c>
      <c r="L22" s="55">
        <f>'Balance Sheet'!O33*L23</f>
        <v>56326.428615599987</v>
      </c>
      <c r="M22" s="55">
        <f>'Balance Sheet'!P33*M23</f>
        <v>69281.507197187995</v>
      </c>
      <c r="N22" s="55">
        <f>'Balance Sheet'!Q33*N23</f>
        <v>80366.548348738055</v>
      </c>
    </row>
    <row r="23" spans="1:14" s="16" customFormat="1" ht="11.25" x14ac:dyDescent="0.2">
      <c r="B23" s="20" t="s">
        <v>146</v>
      </c>
      <c r="D23" s="21">
        <f>D22/'Balance Sheet'!G33</f>
        <v>0.12478586397906033</v>
      </c>
      <c r="E23" s="21">
        <f>E22/'Balance Sheet'!H33</f>
        <v>8.2460256462117229E-2</v>
      </c>
      <c r="F23" s="21">
        <f>F22/'Balance Sheet'!I33</f>
        <v>0.10453795818481673</v>
      </c>
      <c r="G23" s="21">
        <f>G22/'Balance Sheet'!J33</f>
        <v>0.11506712151730722</v>
      </c>
      <c r="H23" s="21">
        <f>H22/'Balance Sheet'!K33</f>
        <v>0.10318014021065465</v>
      </c>
      <c r="I23" s="21">
        <f>I22/'Balance Sheet'!L33</f>
        <v>9.1991940177164028E-2</v>
      </c>
      <c r="J23" s="58">
        <f>Assumptions!I15</f>
        <v>0.1</v>
      </c>
      <c r="K23" s="58">
        <f>Assumptions!J15</f>
        <v>0.1</v>
      </c>
      <c r="L23" s="58">
        <f>Assumptions!K15</f>
        <v>0.1</v>
      </c>
      <c r="M23" s="58">
        <f>Assumptions!L15</f>
        <v>0.1</v>
      </c>
      <c r="N23" s="58">
        <f>Assumptions!M15</f>
        <v>0.1</v>
      </c>
    </row>
    <row r="25" spans="1:14" x14ac:dyDescent="0.2">
      <c r="A25" s="5" t="s">
        <v>92</v>
      </c>
    </row>
    <row r="26" spans="1:14" x14ac:dyDescent="0.2">
      <c r="B26" s="5" t="s">
        <v>84</v>
      </c>
      <c r="D26" s="5">
        <v>-495</v>
      </c>
      <c r="E26" s="5">
        <v>-39</v>
      </c>
      <c r="F26" s="5">
        <v>-21</v>
      </c>
      <c r="G26" s="5">
        <v>-3</v>
      </c>
      <c r="H26" s="5">
        <v>-62</v>
      </c>
      <c r="I26" s="5">
        <v>-72</v>
      </c>
    </row>
    <row r="27" spans="1:14" x14ac:dyDescent="0.2">
      <c r="B27" s="5" t="s">
        <v>85</v>
      </c>
      <c r="D27" s="5">
        <v>1498</v>
      </c>
      <c r="E27" s="5">
        <v>1870</v>
      </c>
      <c r="F27" s="5">
        <v>1651</v>
      </c>
      <c r="G27" s="5">
        <v>1509</v>
      </c>
      <c r="H27" s="5">
        <v>4908</v>
      </c>
      <c r="I27" s="5">
        <v>8182</v>
      </c>
    </row>
    <row r="28" spans="1:14" x14ac:dyDescent="0.2">
      <c r="B28" s="5" t="s">
        <v>86</v>
      </c>
      <c r="D28" s="5">
        <v>0</v>
      </c>
      <c r="E28" s="5">
        <v>591</v>
      </c>
      <c r="F28" s="5">
        <v>255</v>
      </c>
      <c r="G28" s="5">
        <v>1359</v>
      </c>
      <c r="H28" s="5">
        <v>-57</v>
      </c>
      <c r="I28" s="5">
        <v>0</v>
      </c>
    </row>
    <row r="29" spans="1:14" x14ac:dyDescent="0.2">
      <c r="B29" s="5" t="s">
        <v>83</v>
      </c>
      <c r="D29" s="5">
        <v>1923</v>
      </c>
      <c r="E29" s="5">
        <v>1296</v>
      </c>
      <c r="F29" s="5">
        <v>1528</v>
      </c>
      <c r="G29" s="5">
        <v>2595</v>
      </c>
      <c r="H29" s="5">
        <v>3370</v>
      </c>
      <c r="I29" s="5">
        <v>1634</v>
      </c>
    </row>
    <row r="30" spans="1:14" x14ac:dyDescent="0.2">
      <c r="B30" s="5" t="s">
        <v>87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-6784</v>
      </c>
      <c r="J30" s="57"/>
      <c r="K30" s="57"/>
      <c r="L30" s="57"/>
      <c r="M30" s="57"/>
      <c r="N30" s="57"/>
    </row>
    <row r="31" spans="1:14" x14ac:dyDescent="0.2">
      <c r="A31" s="5" t="s">
        <v>88</v>
      </c>
      <c r="D31" s="5">
        <f t="shared" ref="D31:I31" si="7">SUM(D26:D30)</f>
        <v>2926</v>
      </c>
      <c r="E31" s="5">
        <f t="shared" si="7"/>
        <v>3718</v>
      </c>
      <c r="F31" s="5">
        <f t="shared" si="7"/>
        <v>3413</v>
      </c>
      <c r="G31" s="5">
        <f t="shared" si="7"/>
        <v>5460</v>
      </c>
      <c r="H31" s="5">
        <f t="shared" si="7"/>
        <v>8159</v>
      </c>
      <c r="I31" s="5">
        <f t="shared" si="7"/>
        <v>2960</v>
      </c>
      <c r="J31" s="55">
        <f>J7*J32</f>
        <v>7611.4223999999995</v>
      </c>
      <c r="K31" s="55">
        <f>K7*K32</f>
        <v>8753.1357599999992</v>
      </c>
      <c r="L31" s="55">
        <f>L7*L32</f>
        <v>10241.168839199998</v>
      </c>
      <c r="M31" s="55">
        <f>M7*M32</f>
        <v>12596.637672215997</v>
      </c>
      <c r="N31" s="55">
        <f>N7*N32</f>
        <v>14612.099699770555</v>
      </c>
    </row>
    <row r="32" spans="1:14" s="16" customFormat="1" ht="11.25" x14ac:dyDescent="0.2">
      <c r="B32" s="42" t="s">
        <v>205</v>
      </c>
      <c r="D32" s="44">
        <f t="shared" ref="D32:I32" si="8">D31/D7</f>
        <v>1.1524721433382306E-2</v>
      </c>
      <c r="E32" s="44">
        <f t="shared" si="8"/>
        <v>1.1748868721086029E-2</v>
      </c>
      <c r="F32" s="44">
        <f t="shared" si="8"/>
        <v>9.823759509301342E-3</v>
      </c>
      <c r="G32" s="44">
        <f t="shared" si="8"/>
        <v>1.3963694394574106E-2</v>
      </c>
      <c r="H32" s="44">
        <f t="shared" si="8"/>
        <v>1.8222995503996819E-2</v>
      </c>
      <c r="I32" s="44">
        <f t="shared" si="8"/>
        <v>5.6000045405442218E-3</v>
      </c>
      <c r="J32" s="59">
        <f>Assumptions!I17</f>
        <v>1.2E-2</v>
      </c>
      <c r="K32" s="59">
        <f>Assumptions!J17</f>
        <v>1.2E-2</v>
      </c>
      <c r="L32" s="59">
        <f>Assumptions!K17</f>
        <v>1.2E-2</v>
      </c>
      <c r="M32" s="59">
        <f>Assumptions!L17</f>
        <v>1.2E-2</v>
      </c>
      <c r="N32" s="59">
        <f>Assumptions!M17</f>
        <v>1.2E-2</v>
      </c>
    </row>
    <row r="33" spans="1:14" x14ac:dyDescent="0.2">
      <c r="D33" s="9"/>
      <c r="E33" s="9"/>
      <c r="F33" s="9"/>
      <c r="G33" s="9"/>
      <c r="H33" s="9"/>
      <c r="I33" s="9"/>
      <c r="J33" s="57"/>
      <c r="K33" s="57"/>
      <c r="L33" s="57"/>
      <c r="M33" s="57"/>
      <c r="N33" s="57"/>
    </row>
    <row r="34" spans="1:14" x14ac:dyDescent="0.2">
      <c r="A34" s="5" t="s">
        <v>89</v>
      </c>
      <c r="D34" s="5">
        <f t="shared" ref="D34:N34" si="9">D19+D31</f>
        <v>85393</v>
      </c>
      <c r="E34" s="5">
        <f t="shared" si="9"/>
        <v>109966</v>
      </c>
      <c r="F34" s="5">
        <f>F19+F31</f>
        <v>97730</v>
      </c>
      <c r="G34" s="5">
        <f t="shared" si="9"/>
        <v>129921</v>
      </c>
      <c r="H34" s="5">
        <f t="shared" si="9"/>
        <v>164595</v>
      </c>
      <c r="I34" s="5">
        <f>I19+I31</f>
        <v>174522</v>
      </c>
      <c r="J34" s="55">
        <f t="shared" si="9"/>
        <v>223268.3904</v>
      </c>
      <c r="K34" s="55">
        <f t="shared" si="9"/>
        <v>256758.64895999987</v>
      </c>
      <c r="L34" s="55">
        <f t="shared" si="9"/>
        <v>291873.31191719993</v>
      </c>
      <c r="M34" s="55">
        <f t="shared" si="9"/>
        <v>369501.37171833584</v>
      </c>
      <c r="N34" s="55">
        <f t="shared" si="9"/>
        <v>428621.59119326959</v>
      </c>
    </row>
    <row r="35" spans="1:14" x14ac:dyDescent="0.2">
      <c r="B35" s="5" t="s">
        <v>90</v>
      </c>
      <c r="D35" s="13">
        <v>28358</v>
      </c>
      <c r="E35" s="13">
        <v>36269</v>
      </c>
      <c r="F35" s="13">
        <v>36945</v>
      </c>
      <c r="G35" s="13">
        <v>50929</v>
      </c>
      <c r="H35" s="13">
        <v>62772</v>
      </c>
      <c r="I35" s="13">
        <v>61862</v>
      </c>
      <c r="J35" s="55">
        <f>J34*J36</f>
        <v>78143.93664</v>
      </c>
      <c r="K35" s="55">
        <f>K34*K36</f>
        <v>89865.527135999946</v>
      </c>
      <c r="L35" s="55">
        <f>L34*L36</f>
        <v>102155.65917101997</v>
      </c>
      <c r="M35" s="55">
        <f>M34*M36</f>
        <v>129325.48010141753</v>
      </c>
      <c r="N35" s="55">
        <f>N34*N36</f>
        <v>150017.55691764434</v>
      </c>
    </row>
    <row r="36" spans="1:14" x14ac:dyDescent="0.2">
      <c r="B36" s="15" t="s">
        <v>103</v>
      </c>
      <c r="D36" s="18">
        <f t="shared" ref="D36:I36" si="10">D35/D34</f>
        <v>0.33208811026664947</v>
      </c>
      <c r="E36" s="18">
        <f t="shared" si="10"/>
        <v>0.3298201262208319</v>
      </c>
      <c r="F36" s="18">
        <f t="shared" si="10"/>
        <v>0.3780313107541185</v>
      </c>
      <c r="G36" s="23">
        <f t="shared" si="10"/>
        <v>0.3919997536964771</v>
      </c>
      <c r="H36" s="23">
        <f t="shared" si="10"/>
        <v>0.38137245967374467</v>
      </c>
      <c r="I36" s="18">
        <f t="shared" si="10"/>
        <v>0.35446533961334387</v>
      </c>
      <c r="J36" s="60">
        <f>Assumptions!I19</f>
        <v>0.35</v>
      </c>
      <c r="K36" s="60">
        <f>Assumptions!J19</f>
        <v>0.35</v>
      </c>
      <c r="L36" s="60">
        <f>Assumptions!K19</f>
        <v>0.35</v>
      </c>
      <c r="M36" s="60">
        <f>Assumptions!L19</f>
        <v>0.35</v>
      </c>
      <c r="N36" s="60">
        <f>Assumptions!M19</f>
        <v>0.35</v>
      </c>
    </row>
    <row r="37" spans="1:14" x14ac:dyDescent="0.2">
      <c r="B37" s="15"/>
      <c r="D37" s="21"/>
      <c r="E37" s="21"/>
      <c r="F37" s="21"/>
      <c r="G37" s="21"/>
      <c r="H37" s="21"/>
      <c r="I37" s="21"/>
    </row>
    <row r="38" spans="1:14" x14ac:dyDescent="0.2">
      <c r="A38" s="5" t="s">
        <v>93</v>
      </c>
      <c r="D38" s="5">
        <f t="shared" ref="D38:N38" si="11">D34-D35</f>
        <v>57035</v>
      </c>
      <c r="E38" s="5">
        <f t="shared" si="11"/>
        <v>73697</v>
      </c>
      <c r="F38" s="5">
        <f t="shared" si="11"/>
        <v>60785</v>
      </c>
      <c r="G38" s="5">
        <f t="shared" si="11"/>
        <v>78992</v>
      </c>
      <c r="H38" s="5">
        <f t="shared" si="11"/>
        <v>101823</v>
      </c>
      <c r="I38" s="5">
        <f t="shared" si="11"/>
        <v>112660</v>
      </c>
      <c r="J38" s="55">
        <f t="shared" si="11"/>
        <v>145124.45376</v>
      </c>
      <c r="K38" s="55">
        <f t="shared" si="11"/>
        <v>166893.12182399991</v>
      </c>
      <c r="L38" s="55">
        <f t="shared" si="11"/>
        <v>189717.65274617996</v>
      </c>
      <c r="M38" s="55">
        <f t="shared" si="11"/>
        <v>240175.89161691832</v>
      </c>
      <c r="N38" s="55">
        <f t="shared" si="11"/>
        <v>278604.03427562525</v>
      </c>
    </row>
    <row r="39" spans="1:14" s="16" customFormat="1" ht="11.25" x14ac:dyDescent="0.2">
      <c r="B39" s="20" t="s">
        <v>106</v>
      </c>
      <c r="D39" s="19">
        <f t="shared" ref="D39:N39" si="12">D38/D7</f>
        <v>0.22464541591010245</v>
      </c>
      <c r="E39" s="19">
        <f t="shared" si="12"/>
        <v>0.23288229643299543</v>
      </c>
      <c r="F39" s="19">
        <f t="shared" si="12"/>
        <v>0.17495963134277234</v>
      </c>
      <c r="G39" s="19">
        <f t="shared" si="12"/>
        <v>0.20201834205424871</v>
      </c>
      <c r="H39" s="19">
        <f t="shared" si="12"/>
        <v>0.22742003569107344</v>
      </c>
      <c r="I39" s="19">
        <f t="shared" si="12"/>
        <v>0.21314071335733514</v>
      </c>
      <c r="J39" s="56">
        <f t="shared" si="12"/>
        <v>0.22880000000000003</v>
      </c>
      <c r="K39" s="56">
        <f t="shared" si="12"/>
        <v>0.22879999999999992</v>
      </c>
      <c r="L39" s="56">
        <f t="shared" si="12"/>
        <v>0.2223</v>
      </c>
      <c r="M39" s="56">
        <f t="shared" si="12"/>
        <v>0.22879999999999998</v>
      </c>
      <c r="N39" s="56">
        <f t="shared" si="12"/>
        <v>0.2288</v>
      </c>
    </row>
    <row r="40" spans="1:14" s="16" customFormat="1" ht="11.25" x14ac:dyDescent="0.2">
      <c r="B40" s="20"/>
      <c r="D40" s="19"/>
      <c r="E40" s="19"/>
      <c r="F40" s="19"/>
      <c r="G40" s="19"/>
      <c r="H40" s="19"/>
      <c r="I40" s="19"/>
      <c r="J40" s="61"/>
      <c r="K40" s="61"/>
      <c r="L40" s="61"/>
      <c r="M40" s="61"/>
      <c r="N40" s="61"/>
    </row>
    <row r="41" spans="1:14" x14ac:dyDescent="0.2">
      <c r="A41" s="5" t="s">
        <v>94</v>
      </c>
    </row>
    <row r="42" spans="1:14" ht="26.25" customHeight="1" x14ac:dyDescent="0.2">
      <c r="B42" s="103" t="s">
        <v>95</v>
      </c>
      <c r="C42" s="103"/>
      <c r="D42" s="9">
        <v>0</v>
      </c>
      <c r="E42" s="9">
        <v>0</v>
      </c>
      <c r="F42" s="9">
        <v>0</v>
      </c>
      <c r="G42" s="9">
        <v>228</v>
      </c>
      <c r="H42" s="9">
        <v>293</v>
      </c>
      <c r="I42" s="9">
        <v>-15713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</row>
    <row r="44" spans="1:14" ht="13.5" thickBot="1" x14ac:dyDescent="0.25">
      <c r="A44" s="5" t="s">
        <v>47</v>
      </c>
      <c r="D44" s="10">
        <f t="shared" ref="D44:N44" si="13">D38+D42</f>
        <v>57035</v>
      </c>
      <c r="E44" s="10">
        <f t="shared" si="13"/>
        <v>73697</v>
      </c>
      <c r="F44" s="10">
        <f t="shared" si="13"/>
        <v>60785</v>
      </c>
      <c r="G44" s="10">
        <f t="shared" si="13"/>
        <v>79220</v>
      </c>
      <c r="H44" s="10">
        <f t="shared" si="13"/>
        <v>102116</v>
      </c>
      <c r="I44" s="10">
        <f>I38+I42</f>
        <v>96947</v>
      </c>
      <c r="J44" s="62">
        <f t="shared" si="13"/>
        <v>145124.45376</v>
      </c>
      <c r="K44" s="62">
        <f t="shared" si="13"/>
        <v>166893.12182399991</v>
      </c>
      <c r="L44" s="62">
        <f t="shared" si="13"/>
        <v>189717.65274617996</v>
      </c>
      <c r="M44" s="62">
        <f t="shared" si="13"/>
        <v>240175.89161691832</v>
      </c>
      <c r="N44" s="62">
        <f t="shared" si="13"/>
        <v>278604.03427562525</v>
      </c>
    </row>
    <row r="45" spans="1:14" ht="13.5" thickTop="1" x14ac:dyDescent="0.2">
      <c r="B45" s="15" t="s">
        <v>104</v>
      </c>
      <c r="D45" s="19">
        <f t="shared" ref="D45:N45" si="14">D44/D7</f>
        <v>0.22464541591010245</v>
      </c>
      <c r="E45" s="19">
        <f t="shared" si="14"/>
        <v>0.23288229643299543</v>
      </c>
      <c r="F45" s="19">
        <f t="shared" si="14"/>
        <v>0.17495963134277234</v>
      </c>
      <c r="G45" s="19">
        <f t="shared" si="14"/>
        <v>0.20260144138061553</v>
      </c>
      <c r="H45" s="19">
        <f t="shared" si="14"/>
        <v>0.22807444648684144</v>
      </c>
      <c r="I45" s="19">
        <f t="shared" si="14"/>
        <v>0.18341339195680428</v>
      </c>
      <c r="J45" s="56">
        <f t="shared" si="14"/>
        <v>0.22880000000000003</v>
      </c>
      <c r="K45" s="56">
        <f t="shared" si="14"/>
        <v>0.22879999999999992</v>
      </c>
      <c r="L45" s="56">
        <f t="shared" si="14"/>
        <v>0.2223</v>
      </c>
      <c r="M45" s="56">
        <f t="shared" si="14"/>
        <v>0.22879999999999998</v>
      </c>
      <c r="N45" s="56">
        <f t="shared" si="14"/>
        <v>0.2288</v>
      </c>
    </row>
    <row r="46" spans="1:14" s="16" customFormat="1" ht="11.25" x14ac:dyDescent="0.2">
      <c r="B46" s="15" t="s">
        <v>105</v>
      </c>
      <c r="E46" s="19">
        <f>(E44/D44)-1</f>
        <v>0.29213640746909797</v>
      </c>
      <c r="F46" s="19">
        <f t="shared" ref="F46:N46" si="15">(F44/E44)-1</f>
        <v>-0.17520387532735393</v>
      </c>
      <c r="G46" s="19">
        <f t="shared" si="15"/>
        <v>0.3032820597186805</v>
      </c>
      <c r="H46" s="19">
        <f t="shared" si="15"/>
        <v>0.28901792476647303</v>
      </c>
      <c r="I46" s="19">
        <f t="shared" si="15"/>
        <v>-5.061890399153901E-2</v>
      </c>
      <c r="J46" s="56">
        <f t="shared" si="15"/>
        <v>0.49694630839530873</v>
      </c>
      <c r="K46" s="56">
        <f t="shared" si="15"/>
        <v>0.14999999999999947</v>
      </c>
      <c r="L46" s="56">
        <f t="shared" si="15"/>
        <v>0.13676136363636404</v>
      </c>
      <c r="M46" s="56">
        <f t="shared" si="15"/>
        <v>0.26596491228070174</v>
      </c>
      <c r="N46" s="56">
        <f t="shared" si="15"/>
        <v>0.15999999999999992</v>
      </c>
    </row>
    <row r="48" spans="1:14" x14ac:dyDescent="0.2">
      <c r="A48" s="96" t="s">
        <v>208</v>
      </c>
      <c r="D48" s="5">
        <f>D38</f>
        <v>57035</v>
      </c>
      <c r="E48" s="5">
        <f t="shared" ref="E48:N48" si="16">E38</f>
        <v>73697</v>
      </c>
      <c r="F48" s="5">
        <f t="shared" si="16"/>
        <v>60785</v>
      </c>
      <c r="G48" s="5">
        <f t="shared" si="16"/>
        <v>78992</v>
      </c>
      <c r="H48" s="5">
        <f t="shared" si="16"/>
        <v>101823</v>
      </c>
      <c r="I48" s="5">
        <f t="shared" si="16"/>
        <v>112660</v>
      </c>
      <c r="J48" s="55">
        <f t="shared" si="16"/>
        <v>145124.45376</v>
      </c>
      <c r="K48" s="55">
        <f t="shared" si="16"/>
        <v>166893.12182399991</v>
      </c>
      <c r="L48" s="55">
        <f t="shared" si="16"/>
        <v>189717.65274617996</v>
      </c>
      <c r="M48" s="55">
        <f t="shared" si="16"/>
        <v>240175.89161691832</v>
      </c>
      <c r="N48" s="55">
        <f t="shared" si="16"/>
        <v>278604.03427562525</v>
      </c>
    </row>
    <row r="49" spans="1:14" s="16" customFormat="1" ht="11.25" x14ac:dyDescent="0.2">
      <c r="B49" s="20" t="s">
        <v>104</v>
      </c>
      <c r="D49" s="19">
        <f>D48/D7</f>
        <v>0.22464541591010245</v>
      </c>
      <c r="E49" s="19">
        <f t="shared" ref="E49:N49" si="17">E48/E7</f>
        <v>0.23288229643299543</v>
      </c>
      <c r="F49" s="19">
        <f t="shared" si="17"/>
        <v>0.17495963134277234</v>
      </c>
      <c r="G49" s="19">
        <f t="shared" si="17"/>
        <v>0.20201834205424871</v>
      </c>
      <c r="H49" s="19">
        <f t="shared" si="17"/>
        <v>0.22742003569107344</v>
      </c>
      <c r="I49" s="19">
        <f t="shared" si="17"/>
        <v>0.21314071335733514</v>
      </c>
      <c r="J49" s="56">
        <f t="shared" si="17"/>
        <v>0.22880000000000003</v>
      </c>
      <c r="K49" s="56">
        <f t="shared" si="17"/>
        <v>0.22879999999999992</v>
      </c>
      <c r="L49" s="56">
        <f t="shared" si="17"/>
        <v>0.2223</v>
      </c>
      <c r="M49" s="56">
        <f t="shared" si="17"/>
        <v>0.22879999999999998</v>
      </c>
      <c r="N49" s="56">
        <f t="shared" si="17"/>
        <v>0.2288</v>
      </c>
    </row>
    <row r="50" spans="1:14" s="16" customFormat="1" ht="11.25" x14ac:dyDescent="0.2">
      <c r="B50" s="20" t="s">
        <v>105</v>
      </c>
      <c r="E50" s="19">
        <f>(E49/D49)-1</f>
        <v>3.6666141125217377E-2</v>
      </c>
      <c r="F50" s="19">
        <f t="shared" ref="F50:N50" si="18">(F49/E49)-1</f>
        <v>-0.24872077430277539</v>
      </c>
      <c r="G50" s="19">
        <f t="shared" si="18"/>
        <v>0.15465688001173405</v>
      </c>
      <c r="H50" s="19">
        <f t="shared" si="18"/>
        <v>0.12573954116504682</v>
      </c>
      <c r="I50" s="19">
        <f t="shared" si="18"/>
        <v>-6.2788321575743988E-2</v>
      </c>
      <c r="J50" s="56">
        <f t="shared" si="18"/>
        <v>7.3469241966980459E-2</v>
      </c>
      <c r="K50" s="56">
        <f t="shared" si="18"/>
        <v>0</v>
      </c>
      <c r="L50" s="56">
        <f t="shared" si="18"/>
        <v>-2.8409090909090606E-2</v>
      </c>
      <c r="M50" s="56">
        <f t="shared" si="18"/>
        <v>2.9239766081871288E-2</v>
      </c>
      <c r="N50" s="56">
        <f t="shared" si="18"/>
        <v>0</v>
      </c>
    </row>
    <row r="52" spans="1:14" s="3" customFormat="1" ht="15.75" x14ac:dyDescent="0.25">
      <c r="A52" s="3" t="s">
        <v>96</v>
      </c>
    </row>
    <row r="54" spans="1:14" x14ac:dyDescent="0.2">
      <c r="A54" s="5" t="s">
        <v>97</v>
      </c>
    </row>
    <row r="55" spans="1:14" x14ac:dyDescent="0.2">
      <c r="B55" s="5" t="s">
        <v>93</v>
      </c>
      <c r="D55" s="11">
        <f t="shared" ref="D55:N55" si="19">D38/D59</f>
        <v>0.68716499050095448</v>
      </c>
      <c r="E55" s="11">
        <f t="shared" si="19"/>
        <v>0.79897129938153966</v>
      </c>
      <c r="F55" s="11">
        <f t="shared" si="19"/>
        <v>0.67626493751705818</v>
      </c>
      <c r="G55" s="11">
        <f t="shared" si="19"/>
        <v>0.8769498832222975</v>
      </c>
      <c r="H55" s="11">
        <f t="shared" si="19"/>
        <v>1.1271381078649574</v>
      </c>
      <c r="I55" s="11">
        <f>I38/I59</f>
        <v>1.2456160198116852</v>
      </c>
      <c r="J55" s="63">
        <f>J38/J59</f>
        <v>1.6045565814830125</v>
      </c>
      <c r="K55" s="63">
        <f t="shared" si="19"/>
        <v>1.8452400687054633</v>
      </c>
      <c r="L55" s="63">
        <f t="shared" si="19"/>
        <v>2.0975976167380805</v>
      </c>
      <c r="M55" s="63">
        <f t="shared" si="19"/>
        <v>2.6554849828740328</v>
      </c>
      <c r="N55" s="63">
        <f t="shared" si="19"/>
        <v>3.0803625801338779</v>
      </c>
    </row>
    <row r="56" spans="1:14" ht="13.5" thickBot="1" x14ac:dyDescent="0.25">
      <c r="B56" s="5" t="s">
        <v>98</v>
      </c>
      <c r="D56" s="12">
        <f t="shared" ref="D56:N56" si="20">D42/D59</f>
        <v>0</v>
      </c>
      <c r="E56" s="12">
        <f t="shared" si="20"/>
        <v>0</v>
      </c>
      <c r="F56" s="12">
        <f t="shared" si="20"/>
        <v>0</v>
      </c>
      <c r="G56" s="12">
        <f t="shared" si="20"/>
        <v>2.5312002908482356E-3</v>
      </c>
      <c r="H56" s="12">
        <f t="shared" si="20"/>
        <v>3.2433876983042386E-3</v>
      </c>
      <c r="I56" s="12">
        <f>I42/I59</f>
        <v>-0.17372949156134396</v>
      </c>
      <c r="J56" s="64">
        <f t="shared" si="20"/>
        <v>0</v>
      </c>
      <c r="K56" s="64">
        <f t="shared" si="20"/>
        <v>0</v>
      </c>
      <c r="L56" s="64">
        <f t="shared" si="20"/>
        <v>0</v>
      </c>
      <c r="M56" s="64">
        <f t="shared" si="20"/>
        <v>0</v>
      </c>
      <c r="N56" s="64">
        <f t="shared" si="20"/>
        <v>0</v>
      </c>
    </row>
    <row r="57" spans="1:14" ht="13.5" thickTop="1" x14ac:dyDescent="0.2">
      <c r="A57" s="5" t="s">
        <v>99</v>
      </c>
      <c r="D57" s="11">
        <f t="shared" ref="D57:I57" si="21">D55+D56</f>
        <v>0.68716499050095448</v>
      </c>
      <c r="E57" s="11">
        <f t="shared" si="21"/>
        <v>0.79897129938153966</v>
      </c>
      <c r="F57" s="11">
        <f t="shared" si="21"/>
        <v>0.67626493751705818</v>
      </c>
      <c r="G57" s="11">
        <f t="shared" si="21"/>
        <v>0.87948108351314569</v>
      </c>
      <c r="H57" s="11">
        <f t="shared" si="21"/>
        <v>1.1303814955632616</v>
      </c>
      <c r="I57" s="11">
        <f t="shared" si="21"/>
        <v>1.0718865282503414</v>
      </c>
      <c r="J57" s="63">
        <f>J55+J56</f>
        <v>1.6045565814830125</v>
      </c>
      <c r="K57" s="63">
        <f>K55+K56</f>
        <v>1.8452400687054633</v>
      </c>
      <c r="L57" s="63">
        <f>L55+L56</f>
        <v>2.0975976167380805</v>
      </c>
      <c r="M57" s="63">
        <f>M55+M56</f>
        <v>2.6554849828740328</v>
      </c>
      <c r="N57" s="63">
        <f>N55+N56</f>
        <v>3.0803625801338779</v>
      </c>
    </row>
    <row r="59" spans="1:14" ht="30" customHeight="1" x14ac:dyDescent="0.2">
      <c r="A59" s="103" t="s">
        <v>100</v>
      </c>
      <c r="B59" s="104"/>
      <c r="C59" s="104"/>
      <c r="D59" s="5">
        <f>'Shareholders Equity'!F9/1000</f>
        <v>83000.445000000007</v>
      </c>
      <c r="E59" s="5">
        <f>'Shareholders Equity'!F19/1000</f>
        <v>92239.858999999997</v>
      </c>
      <c r="F59" s="5">
        <f>'Shareholders Equity'!F26/1000</f>
        <v>89883.411999999997</v>
      </c>
      <c r="G59" s="5">
        <f>'Shareholders Equity'!F33/1000</f>
        <v>90075.842999999993</v>
      </c>
      <c r="H59" s="5">
        <f>'Shareholders Equity'!F40/1000</f>
        <v>90337.642999999996</v>
      </c>
      <c r="I59" s="5">
        <f>'Shareholders Equity'!F47/1000</f>
        <v>90445.207999999999</v>
      </c>
      <c r="J59" s="55">
        <f>'Shareholders Equity'!F54/1000</f>
        <v>90445.207999999999</v>
      </c>
      <c r="K59" s="55">
        <f>'Shareholders Equity'!F61/1000</f>
        <v>90445.207999999999</v>
      </c>
      <c r="L59" s="55">
        <f>'Shareholders Equity'!F68/1000</f>
        <v>90445.207999999999</v>
      </c>
      <c r="M59" s="55">
        <f>'Shareholders Equity'!F75/1000</f>
        <v>90445.207999999999</v>
      </c>
      <c r="N59" s="55">
        <f>'Shareholders Equity'!F82/1000</f>
        <v>90445.207999999999</v>
      </c>
    </row>
  </sheetData>
  <mergeCells count="3">
    <mergeCell ref="B42:C42"/>
    <mergeCell ref="A59:C59"/>
    <mergeCell ref="A1:C1"/>
  </mergeCells>
  <phoneticPr fontId="2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sqref="A1:C1"/>
    </sheetView>
  </sheetViews>
  <sheetFormatPr defaultRowHeight="12.75" x14ac:dyDescent="0.2"/>
  <cols>
    <col min="1" max="3" width="9.140625" style="5" customWidth="1"/>
    <col min="4" max="4" width="10.28515625" style="5" bestFit="1" customWidth="1"/>
    <col min="5" max="16384" width="9.140625" style="5"/>
  </cols>
  <sheetData>
    <row r="1" spans="1:4" x14ac:dyDescent="0.2">
      <c r="A1" s="5" t="s">
        <v>241</v>
      </c>
    </row>
    <row r="5" spans="1:4" x14ac:dyDescent="0.2">
      <c r="C5" s="5" t="s">
        <v>233</v>
      </c>
      <c r="D5" s="8" t="s">
        <v>234</v>
      </c>
    </row>
    <row r="6" spans="1:4" x14ac:dyDescent="0.2">
      <c r="C6" s="5" t="s">
        <v>220</v>
      </c>
      <c r="D6" s="5">
        <v>21916</v>
      </c>
    </row>
    <row r="7" spans="1:4" x14ac:dyDescent="0.2">
      <c r="C7" s="5" t="s">
        <v>221</v>
      </c>
      <c r="D7" s="5">
        <v>59644</v>
      </c>
    </row>
    <row r="8" spans="1:4" x14ac:dyDescent="0.2">
      <c r="C8" s="5" t="s">
        <v>222</v>
      </c>
      <c r="D8" s="5">
        <v>29800</v>
      </c>
    </row>
    <row r="9" spans="1:4" x14ac:dyDescent="0.2">
      <c r="C9" s="5" t="s">
        <v>223</v>
      </c>
      <c r="D9" s="5">
        <v>49990</v>
      </c>
    </row>
    <row r="10" spans="1:4" x14ac:dyDescent="0.2">
      <c r="C10" s="5" t="s">
        <v>224</v>
      </c>
      <c r="D10" s="5">
        <v>17288</v>
      </c>
    </row>
    <row r="11" spans="1:4" x14ac:dyDescent="0.2">
      <c r="C11" s="5" t="s">
        <v>225</v>
      </c>
      <c r="D11" s="5">
        <v>42513</v>
      </c>
    </row>
    <row r="12" spans="1:4" x14ac:dyDescent="0.2">
      <c r="C12" s="5" t="s">
        <v>226</v>
      </c>
      <c r="D12" s="5">
        <v>19902</v>
      </c>
    </row>
    <row r="13" spans="1:4" x14ac:dyDescent="0.2">
      <c r="C13" s="5" t="s">
        <v>228</v>
      </c>
      <c r="D13" s="5">
        <v>30108</v>
      </c>
    </row>
    <row r="14" spans="1:4" x14ac:dyDescent="0.2">
      <c r="C14" s="5" t="s">
        <v>227</v>
      </c>
      <c r="D14" s="5">
        <v>5516</v>
      </c>
    </row>
    <row r="15" spans="1:4" x14ac:dyDescent="0.2">
      <c r="C15" s="5" t="s">
        <v>229</v>
      </c>
      <c r="D15" s="5">
        <v>14366</v>
      </c>
    </row>
    <row r="16" spans="1:4" x14ac:dyDescent="0.2">
      <c r="C16" s="5" t="s">
        <v>230</v>
      </c>
      <c r="D16" s="5">
        <v>18978</v>
      </c>
    </row>
    <row r="17" spans="3:4" x14ac:dyDescent="0.2">
      <c r="C17" s="9" t="s">
        <v>231</v>
      </c>
      <c r="D17" s="9">
        <v>20135</v>
      </c>
    </row>
    <row r="18" spans="3:4" x14ac:dyDescent="0.2">
      <c r="C18" s="46" t="s">
        <v>235</v>
      </c>
      <c r="D18" s="5">
        <f>SUM(D6:D17)</f>
        <v>330156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7"/>
  <sheetViews>
    <sheetView topLeftCell="K1" workbookViewId="0">
      <selection activeCell="P16" sqref="P16:R16"/>
    </sheetView>
  </sheetViews>
  <sheetFormatPr defaultRowHeight="12.75" x14ac:dyDescent="0.2"/>
  <cols>
    <col min="1" max="1" width="9.7109375" style="81" bestFit="1" customWidth="1"/>
    <col min="2" max="2" width="6.85546875" style="81" bestFit="1" customWidth="1"/>
    <col min="3" max="3" width="8.28515625" style="81" bestFit="1" customWidth="1"/>
    <col min="4" max="4" width="7.85546875" style="81" bestFit="1" customWidth="1"/>
    <col min="5" max="5" width="6.85546875" style="81" bestFit="1" customWidth="1"/>
    <col min="6" max="6" width="7.28515625" style="81" bestFit="1" customWidth="1"/>
    <col min="7" max="8" width="6.85546875" style="81" bestFit="1" customWidth="1"/>
    <col min="9" max="9" width="7.85546875" style="81" bestFit="1" customWidth="1"/>
    <col min="10" max="10" width="6.85546875" style="81" bestFit="1" customWidth="1"/>
    <col min="11" max="11" width="7.28515625" style="81" bestFit="1" customWidth="1"/>
    <col min="12" max="12" width="8.28515625" style="81" bestFit="1" customWidth="1"/>
    <col min="13" max="13" width="6.85546875" style="81" bestFit="1" customWidth="1"/>
    <col min="14" max="15" width="9.140625" style="81" customWidth="1"/>
    <col min="16" max="16" width="8.42578125" style="81" bestFit="1" customWidth="1"/>
    <col min="17" max="17" width="7.140625" style="81" bestFit="1" customWidth="1"/>
    <col min="18" max="18" width="6.85546875" style="81" bestFit="1" customWidth="1"/>
    <col min="19" max="23" width="6.5703125" style="81" bestFit="1" customWidth="1"/>
    <col min="24" max="24" width="7.140625" style="81" bestFit="1" customWidth="1"/>
    <col min="25" max="28" width="6.5703125" style="81" bestFit="1" customWidth="1"/>
    <col min="29" max="16384" width="9.140625" style="81"/>
  </cols>
  <sheetData>
    <row r="1" spans="1:29" x14ac:dyDescent="0.2">
      <c r="A1" s="81" t="s">
        <v>219</v>
      </c>
      <c r="B1" s="81" t="s">
        <v>220</v>
      </c>
      <c r="C1" s="81" t="s">
        <v>221</v>
      </c>
      <c r="D1" s="81" t="s">
        <v>222</v>
      </c>
      <c r="E1" s="81" t="s">
        <v>223</v>
      </c>
      <c r="F1" s="81" t="s">
        <v>224</v>
      </c>
      <c r="G1" s="81" t="s">
        <v>225</v>
      </c>
      <c r="H1" s="81" t="s">
        <v>226</v>
      </c>
      <c r="I1" s="81" t="s">
        <v>227</v>
      </c>
      <c r="J1" s="81" t="s">
        <v>228</v>
      </c>
      <c r="K1" s="81" t="s">
        <v>229</v>
      </c>
      <c r="L1" s="81" t="s">
        <v>230</v>
      </c>
      <c r="M1" s="81" t="s">
        <v>231</v>
      </c>
      <c r="N1" s="81" t="s">
        <v>232</v>
      </c>
      <c r="P1" s="82"/>
      <c r="Q1" s="83" t="s">
        <v>220</v>
      </c>
      <c r="R1" s="83" t="s">
        <v>221</v>
      </c>
      <c r="S1" s="83" t="s">
        <v>222</v>
      </c>
      <c r="T1" s="83" t="s">
        <v>223</v>
      </c>
      <c r="U1" s="83" t="s">
        <v>224</v>
      </c>
      <c r="V1" s="83" t="s">
        <v>225</v>
      </c>
      <c r="W1" s="83" t="s">
        <v>226</v>
      </c>
      <c r="X1" s="83" t="s">
        <v>227</v>
      </c>
      <c r="Y1" s="83" t="s">
        <v>228</v>
      </c>
      <c r="Z1" s="83" t="s">
        <v>229</v>
      </c>
      <c r="AA1" s="83" t="s">
        <v>230</v>
      </c>
      <c r="AB1" s="83" t="s">
        <v>231</v>
      </c>
      <c r="AC1" s="83" t="s">
        <v>232</v>
      </c>
    </row>
    <row r="2" spans="1:29" x14ac:dyDescent="0.2">
      <c r="A2" s="84">
        <v>39020</v>
      </c>
      <c r="B2" s="85">
        <v>-2.7798369162341796E-3</v>
      </c>
      <c r="C2" s="85">
        <v>-2.6327147173068721E-2</v>
      </c>
      <c r="D2" s="85">
        <v>-2.0442930153321992E-2</v>
      </c>
      <c r="E2" s="85">
        <v>-1.4149900508511948E-2</v>
      </c>
      <c r="F2" s="85">
        <v>-2.3745519713261665E-2</v>
      </c>
      <c r="G2" s="85">
        <v>-1.5743073047858935E-2</v>
      </c>
      <c r="H2" s="85">
        <v>-2.7235587834771868E-3</v>
      </c>
      <c r="I2" s="85">
        <v>-4.9026676279740444E-2</v>
      </c>
      <c r="J2" s="85">
        <v>-1.6679904686259017E-2</v>
      </c>
      <c r="K2" s="85">
        <v>-1.8974794675729267E-2</v>
      </c>
      <c r="L2" s="85">
        <v>-2.7423469387755084E-2</v>
      </c>
      <c r="M2" s="85">
        <v>-1.0628465804066511E-2</v>
      </c>
      <c r="N2" s="86">
        <f t="shared" ref="N2:N33" si="0">AVERAGE(B2:M2)</f>
        <v>-1.9053773094107079E-2</v>
      </c>
      <c r="P2" s="87" t="s">
        <v>220</v>
      </c>
      <c r="Q2" s="88">
        <v>1</v>
      </c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x14ac:dyDescent="0.2">
      <c r="A3" s="84">
        <v>39013</v>
      </c>
      <c r="B3" s="85">
        <v>1.7840550083627615E-2</v>
      </c>
      <c r="C3" s="85">
        <v>1.1746453900709275E-2</v>
      </c>
      <c r="D3" s="85">
        <v>-1.0434782608695681E-2</v>
      </c>
      <c r="E3" s="85">
        <v>3.0500112132765267E-2</v>
      </c>
      <c r="F3" s="85">
        <v>2.1569527306103842E-2</v>
      </c>
      <c r="G3" s="85">
        <v>8.5306035402004099E-3</v>
      </c>
      <c r="H3" s="85">
        <v>5.1585495372479251E-3</v>
      </c>
      <c r="I3" s="85">
        <v>1.8953752843062777E-3</v>
      </c>
      <c r="J3" s="85">
        <v>2.9079159935379684E-2</v>
      </c>
      <c r="K3" s="85">
        <v>1.7032332563510222E-2</v>
      </c>
      <c r="L3" s="85">
        <v>5.2459016393442415E-3</v>
      </c>
      <c r="M3" s="85">
        <v>4.6707146193369908E-4</v>
      </c>
      <c r="N3" s="86">
        <f t="shared" si="0"/>
        <v>1.1552571231369399E-2</v>
      </c>
      <c r="P3" s="87" t="s">
        <v>221</v>
      </c>
      <c r="Q3" s="88">
        <v>0.2600263275778345</v>
      </c>
      <c r="R3" s="88">
        <v>1</v>
      </c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</row>
    <row r="4" spans="1:29" x14ac:dyDescent="0.2">
      <c r="A4" s="84">
        <v>39006</v>
      </c>
      <c r="B4" s="85">
        <v>-6.7555230965857804E-3</v>
      </c>
      <c r="C4" s="85">
        <v>-1.4238773274917849E-2</v>
      </c>
      <c r="D4" s="85">
        <v>1.7574692442883233E-3</v>
      </c>
      <c r="E4" s="85">
        <v>-1.0881392818281599E-3</v>
      </c>
      <c r="F4" s="85">
        <v>-1.0332434860736761E-2</v>
      </c>
      <c r="G4" s="85">
        <v>-3.5948403467963574E-3</v>
      </c>
      <c r="H4" s="85">
        <v>1.7660377358490686E-2</v>
      </c>
      <c r="I4" s="85">
        <v>-1.097237987135824E-2</v>
      </c>
      <c r="J4" s="85">
        <v>-5.2328623757180726E-4</v>
      </c>
      <c r="K4" s="85">
        <v>-3.5906897530513571E-2</v>
      </c>
      <c r="L4" s="85">
        <v>1.924331376386168E-2</v>
      </c>
      <c r="M4" s="85">
        <v>1.7273576097105448E-2</v>
      </c>
      <c r="N4" s="86">
        <f t="shared" si="0"/>
        <v>-2.289794836380199E-3</v>
      </c>
      <c r="P4" s="87" t="s">
        <v>222</v>
      </c>
      <c r="Q4" s="89">
        <v>0.31896612492021509</v>
      </c>
      <c r="R4" s="89">
        <v>0.14969758436749861</v>
      </c>
      <c r="S4" s="89">
        <v>1</v>
      </c>
      <c r="T4" s="88"/>
      <c r="U4" s="88"/>
      <c r="V4" s="88"/>
      <c r="W4" s="88"/>
      <c r="X4" s="88"/>
      <c r="Y4" s="88"/>
      <c r="Z4" s="88"/>
      <c r="AA4" s="88"/>
      <c r="AB4" s="88"/>
      <c r="AC4" s="88"/>
    </row>
    <row r="5" spans="1:29" x14ac:dyDescent="0.2">
      <c r="A5" s="84">
        <v>38999</v>
      </c>
      <c r="B5" s="85">
        <v>-3.3455882352941169E-2</v>
      </c>
      <c r="C5" s="85">
        <v>3.1555555555555559E-2</v>
      </c>
      <c r="D5" s="85">
        <v>1.2631578947368327E-2</v>
      </c>
      <c r="E5" s="85">
        <v>1.002178649237484E-2</v>
      </c>
      <c r="F5" s="85">
        <v>1.3617793917385157E-2</v>
      </c>
      <c r="G5" s="85">
        <v>2.2071307300509213E-2</v>
      </c>
      <c r="H5" s="85">
        <v>-1.6612281222189273E-2</v>
      </c>
      <c r="I5" s="85">
        <v>1.3771996939556219E-2</v>
      </c>
      <c r="J5" s="85">
        <v>2.2251308900522737E-3</v>
      </c>
      <c r="K5" s="85">
        <v>-7.3605181804814457E-4</v>
      </c>
      <c r="L5" s="85">
        <v>-1.3759999999999994E-2</v>
      </c>
      <c r="M5" s="85">
        <v>1.8357044515832976E-2</v>
      </c>
      <c r="N5" s="86">
        <f t="shared" si="0"/>
        <v>4.9739982637879987E-3</v>
      </c>
      <c r="P5" s="87" t="s">
        <v>223</v>
      </c>
      <c r="Q5" s="88">
        <v>0.4524971078347611</v>
      </c>
      <c r="R5" s="88">
        <v>0.24868850629012804</v>
      </c>
      <c r="S5" s="89">
        <v>0.42744018145281626</v>
      </c>
      <c r="T5" s="88">
        <v>1</v>
      </c>
      <c r="U5" s="88"/>
      <c r="V5" s="88"/>
      <c r="W5" s="88"/>
      <c r="X5" s="88"/>
      <c r="Y5" s="88"/>
      <c r="Z5" s="88"/>
      <c r="AA5" s="88"/>
      <c r="AB5" s="88"/>
      <c r="AC5" s="88"/>
    </row>
    <row r="6" spans="1:29" x14ac:dyDescent="0.2">
      <c r="A6" s="84">
        <v>38992</v>
      </c>
      <c r="B6" s="85">
        <v>-1.7116774438949989E-3</v>
      </c>
      <c r="C6" s="85">
        <v>-5.6872037914691975E-2</v>
      </c>
      <c r="D6" s="85">
        <v>1.0395010395010118E-3</v>
      </c>
      <c r="E6" s="85">
        <v>-2.2217428817946527E-2</v>
      </c>
      <c r="F6" s="85">
        <v>-8.5087326466636304E-3</v>
      </c>
      <c r="G6" s="85">
        <v>-2.6993355481727543E-2</v>
      </c>
      <c r="H6" s="85">
        <v>-3.0165912518853588E-3</v>
      </c>
      <c r="I6" s="85">
        <v>-1.8867924528301883E-3</v>
      </c>
      <c r="J6" s="85">
        <v>-2.8209481520177548E-2</v>
      </c>
      <c r="K6" s="85">
        <v>1.9593400117855042E-2</v>
      </c>
      <c r="L6" s="85">
        <v>-4.8669695003243918E-3</v>
      </c>
      <c r="M6" s="85">
        <v>-3.8756196484903249E-2</v>
      </c>
      <c r="N6" s="86">
        <f t="shared" si="0"/>
        <v>-1.436719686314078E-2</v>
      </c>
      <c r="P6" s="87" t="s">
        <v>224</v>
      </c>
      <c r="Q6" s="88">
        <v>0.17362634051685746</v>
      </c>
      <c r="R6" s="88">
        <v>0.127763264717557</v>
      </c>
      <c r="S6" s="89">
        <v>0.33060657248947634</v>
      </c>
      <c r="T6" s="88">
        <v>0.24745722039368007</v>
      </c>
      <c r="U6" s="88">
        <v>1</v>
      </c>
      <c r="V6" s="88"/>
      <c r="W6" s="88"/>
      <c r="X6" s="88"/>
      <c r="Y6" s="88"/>
      <c r="Z6" s="88"/>
      <c r="AA6" s="88"/>
      <c r="AB6" s="88"/>
      <c r="AC6" s="88"/>
    </row>
    <row r="7" spans="1:29" x14ac:dyDescent="0.2">
      <c r="A7" s="84">
        <v>38985</v>
      </c>
      <c r="B7" s="85">
        <v>5.7153743570204085E-3</v>
      </c>
      <c r="C7" s="85">
        <v>1.1420740063956547E-3</v>
      </c>
      <c r="D7" s="85">
        <v>-2.4229837313949454E-2</v>
      </c>
      <c r="E7" s="85">
        <v>-2.9340392675932025E-2</v>
      </c>
      <c r="F7" s="85">
        <v>-1.5808491418247583E-2</v>
      </c>
      <c r="G7" s="85">
        <v>2.1340162185232714E-3</v>
      </c>
      <c r="H7" s="85">
        <v>-1.1195158850226816E-2</v>
      </c>
      <c r="I7" s="85">
        <v>-0.10434782608695647</v>
      </c>
      <c r="J7" s="85">
        <v>-2.0158580835909157E-2</v>
      </c>
      <c r="K7" s="85">
        <v>8.380291865337508E-3</v>
      </c>
      <c r="L7" s="85">
        <v>-2.6084121291163997E-2</v>
      </c>
      <c r="M7" s="85">
        <v>4.0553211439287473E-2</v>
      </c>
      <c r="N7" s="86">
        <f t="shared" si="0"/>
        <v>-1.4436620048818433E-2</v>
      </c>
      <c r="P7" s="87" t="s">
        <v>225</v>
      </c>
      <c r="Q7" s="88">
        <v>0.34302063095450069</v>
      </c>
      <c r="R7" s="88">
        <v>0.2711588151754607</v>
      </c>
      <c r="S7" s="89">
        <v>0.35725564756308836</v>
      </c>
      <c r="T7" s="88">
        <v>0.41423886557143813</v>
      </c>
      <c r="U7" s="88">
        <v>0.30565943683605279</v>
      </c>
      <c r="V7" s="88">
        <v>1</v>
      </c>
      <c r="W7" s="88"/>
      <c r="X7" s="88"/>
      <c r="Y7" s="88"/>
      <c r="Z7" s="88"/>
      <c r="AA7" s="88"/>
      <c r="AB7" s="88"/>
      <c r="AC7" s="88"/>
    </row>
    <row r="8" spans="1:29" x14ac:dyDescent="0.2">
      <c r="A8" s="84">
        <v>38978</v>
      </c>
      <c r="B8" s="85">
        <v>-3.7885963250614552E-3</v>
      </c>
      <c r="C8" s="85">
        <v>-2.2815423226096865E-4</v>
      </c>
      <c r="D8" s="85">
        <v>1.6672578928698112E-2</v>
      </c>
      <c r="E8" s="85">
        <v>-1.3636363636363669E-2</v>
      </c>
      <c r="F8" s="85">
        <v>-4.0844424047728367E-2</v>
      </c>
      <c r="G8" s="85">
        <v>-2.9812606473594849E-3</v>
      </c>
      <c r="H8" s="85">
        <v>-6.8849449204406721E-3</v>
      </c>
      <c r="I8" s="85">
        <v>-3.3769523005487967E-3</v>
      </c>
      <c r="J8" s="85">
        <v>-1.5498559868330708E-2</v>
      </c>
      <c r="K8" s="85">
        <v>-2.5648373692506166E-2</v>
      </c>
      <c r="L8" s="85">
        <v>1.0378305992634784E-2</v>
      </c>
      <c r="M8" s="85">
        <v>5.6544266726740178E-2</v>
      </c>
      <c r="N8" s="86">
        <f t="shared" si="0"/>
        <v>-2.4410398352106011E-3</v>
      </c>
      <c r="P8" s="87" t="s">
        <v>226</v>
      </c>
      <c r="Q8" s="88">
        <v>0.21338088728405827</v>
      </c>
      <c r="R8" s="88">
        <v>8.486663085081908E-2</v>
      </c>
      <c r="S8" s="89">
        <v>0.34425146076225627</v>
      </c>
      <c r="T8" s="88">
        <v>0.27738058096637003</v>
      </c>
      <c r="U8" s="88">
        <v>0.14790123091987423</v>
      </c>
      <c r="V8" s="88">
        <v>0.24453546168891666</v>
      </c>
      <c r="W8" s="88">
        <v>1</v>
      </c>
      <c r="X8" s="88"/>
      <c r="Y8" s="88"/>
      <c r="Z8" s="88"/>
      <c r="AA8" s="88"/>
      <c r="AB8" s="88"/>
      <c r="AC8" s="88"/>
    </row>
    <row r="9" spans="1:29" x14ac:dyDescent="0.2">
      <c r="A9" s="84">
        <v>38971</v>
      </c>
      <c r="B9" s="85">
        <v>5.514356341509874E-3</v>
      </c>
      <c r="C9" s="85">
        <v>-3.8110451848471061E-2</v>
      </c>
      <c r="D9" s="85">
        <v>2.0935101186321248E-3</v>
      </c>
      <c r="E9" s="85">
        <v>1.3824884792628112E-3</v>
      </c>
      <c r="F9" s="85">
        <v>0</v>
      </c>
      <c r="G9" s="85">
        <v>2.7765912003416826E-3</v>
      </c>
      <c r="H9" s="85">
        <v>6.162378678169933E-3</v>
      </c>
      <c r="I9" s="85">
        <v>-8.4709868699702762E-3</v>
      </c>
      <c r="J9" s="85">
        <v>-1.1563109501253832E-2</v>
      </c>
      <c r="K9" s="85">
        <v>-3.6764705882352811E-3</v>
      </c>
      <c r="L9" s="85">
        <v>5.5997349237906002E-2</v>
      </c>
      <c r="M9" s="85">
        <v>6.5245202558635418E-2</v>
      </c>
      <c r="N9" s="86">
        <f t="shared" si="0"/>
        <v>6.4459048172106166E-3</v>
      </c>
      <c r="P9" s="87" t="s">
        <v>227</v>
      </c>
      <c r="Q9" s="88">
        <v>-2.0459489706255312E-2</v>
      </c>
      <c r="R9" s="88">
        <v>9.2187281793674178E-2</v>
      </c>
      <c r="S9" s="89">
        <v>0.1694323070962348</v>
      </c>
      <c r="T9" s="88">
        <v>0.19944540504567018</v>
      </c>
      <c r="U9" s="88">
        <v>0.20799005095912512</v>
      </c>
      <c r="V9" s="88">
        <v>0.21404313094774985</v>
      </c>
      <c r="W9" s="88">
        <v>8.7495676805000533E-2</v>
      </c>
      <c r="X9" s="88">
        <v>1</v>
      </c>
      <c r="Y9" s="88"/>
      <c r="Z9" s="88"/>
      <c r="AA9" s="88"/>
      <c r="AB9" s="88"/>
      <c r="AC9" s="88"/>
    </row>
    <row r="10" spans="1:29" x14ac:dyDescent="0.2">
      <c r="A10" s="84">
        <v>38965</v>
      </c>
      <c r="B10" s="85">
        <v>-1.3426626323751911E-2</v>
      </c>
      <c r="C10" s="85">
        <v>-3.2028469750889688E-2</v>
      </c>
      <c r="D10" s="85">
        <v>-4.5612813370473515E-2</v>
      </c>
      <c r="E10" s="85">
        <v>-2.3699953980671928E-2</v>
      </c>
      <c r="F10" s="85">
        <v>-5.406698564593293E-2</v>
      </c>
      <c r="G10" s="85">
        <v>-3.5995740149094901E-2</v>
      </c>
      <c r="H10" s="85">
        <v>-2.0058184045322336E-2</v>
      </c>
      <c r="I10" s="85">
        <v>1.1106364801366952E-2</v>
      </c>
      <c r="J10" s="85">
        <v>-6.0042283298097354E-2</v>
      </c>
      <c r="K10" s="85">
        <v>-3.6162361623616301E-2</v>
      </c>
      <c r="L10" s="85">
        <v>-5.6793222466269278E-2</v>
      </c>
      <c r="M10" s="85">
        <v>1.9015212169735785E-2</v>
      </c>
      <c r="N10" s="86">
        <f t="shared" si="0"/>
        <v>-2.8980421973584785E-2</v>
      </c>
      <c r="P10" s="87" t="s">
        <v>228</v>
      </c>
      <c r="Q10" s="88">
        <v>0.18828998140372982</v>
      </c>
      <c r="R10" s="88">
        <v>0.14775671252760533</v>
      </c>
      <c r="S10" s="89">
        <v>0.26792274945043892</v>
      </c>
      <c r="T10" s="88">
        <v>0.35611501394853373</v>
      </c>
      <c r="U10" s="88">
        <v>0.37127142605465768</v>
      </c>
      <c r="V10" s="88">
        <v>0.58759858405956267</v>
      </c>
      <c r="W10" s="88">
        <v>0.22760544099255295</v>
      </c>
      <c r="X10" s="88">
        <v>0.28189617258183458</v>
      </c>
      <c r="Y10" s="88">
        <v>1</v>
      </c>
      <c r="Z10" s="88"/>
      <c r="AA10" s="88"/>
      <c r="AB10" s="88"/>
      <c r="AC10" s="88"/>
    </row>
    <row r="11" spans="1:29" x14ac:dyDescent="0.2">
      <c r="A11" s="84">
        <v>38957</v>
      </c>
      <c r="B11" s="85">
        <v>2.5301897642323157E-2</v>
      </c>
      <c r="C11" s="85">
        <v>-1.544117647058818E-2</v>
      </c>
      <c r="D11" s="85">
        <v>2.2619481940897579E-2</v>
      </c>
      <c r="E11" s="85">
        <v>1.3905255715295883E-2</v>
      </c>
      <c r="F11" s="85">
        <v>-3.490136570561464E-2</v>
      </c>
      <c r="G11" s="85">
        <v>1.0384445426425026E-2</v>
      </c>
      <c r="H11" s="85">
        <v>4.3750000000000178E-3</v>
      </c>
      <c r="I11" s="85">
        <v>-2.0701309674693746E-2</v>
      </c>
      <c r="J11" s="85">
        <v>2.0992652571600878E-3</v>
      </c>
      <c r="K11" s="85">
        <v>1.9295558958652537E-2</v>
      </c>
      <c r="L11" s="85">
        <v>4.6573519627413074E-3</v>
      </c>
      <c r="M11" s="85">
        <v>-2.0821056766843316E-2</v>
      </c>
      <c r="N11" s="86">
        <f t="shared" si="0"/>
        <v>8.9777902381297603E-4</v>
      </c>
      <c r="P11" s="87" t="s">
        <v>229</v>
      </c>
      <c r="Q11" s="88">
        <v>9.9203272355901123E-2</v>
      </c>
      <c r="R11" s="88">
        <v>0.11827158699314971</v>
      </c>
      <c r="S11" s="89">
        <v>5.2370095077408356E-2</v>
      </c>
      <c r="T11" s="88">
        <v>0.19590645470767185</v>
      </c>
      <c r="U11" s="88">
        <v>0.27237504057722656</v>
      </c>
      <c r="V11" s="88">
        <v>0.22012883956120285</v>
      </c>
      <c r="W11" s="88">
        <v>8.3943205539569341E-2</v>
      </c>
      <c r="X11" s="88">
        <v>3.806233768696058E-2</v>
      </c>
      <c r="Y11" s="88">
        <v>0.18056996771709083</v>
      </c>
      <c r="Z11" s="88">
        <v>1</v>
      </c>
      <c r="AA11" s="88"/>
      <c r="AB11" s="88"/>
      <c r="AC11" s="88"/>
    </row>
    <row r="12" spans="1:29" x14ac:dyDescent="0.2">
      <c r="A12" s="84">
        <v>38950</v>
      </c>
      <c r="B12" s="85">
        <v>-2.0751542344363383E-2</v>
      </c>
      <c r="C12" s="85">
        <v>-0.1150112023898433</v>
      </c>
      <c r="D12" s="85">
        <v>-1.9621833749554063E-2</v>
      </c>
      <c r="E12" s="85">
        <v>-1.8363551836355296E-2</v>
      </c>
      <c r="F12" s="85">
        <v>-1.6247379454926603E-2</v>
      </c>
      <c r="G12" s="85">
        <v>-4.59217144106705E-3</v>
      </c>
      <c r="H12" s="85">
        <v>-4.0292470441817052E-2</v>
      </c>
      <c r="I12" s="85">
        <v>-9.4909404659188068E-3</v>
      </c>
      <c r="J12" s="85">
        <v>2.2445009726170806E-3</v>
      </c>
      <c r="K12" s="85">
        <v>-1.8479567307692402E-2</v>
      </c>
      <c r="L12" s="85">
        <v>-8.3112582781456945E-2</v>
      </c>
      <c r="M12" s="85">
        <v>-4.0722166499498558E-2</v>
      </c>
      <c r="N12" s="86">
        <f t="shared" si="0"/>
        <v>-3.2036742311656367E-2</v>
      </c>
      <c r="P12" s="87" t="s">
        <v>230</v>
      </c>
      <c r="Q12" s="88">
        <v>0.1800625181212249</v>
      </c>
      <c r="R12" s="88">
        <v>8.3081786022625326E-3</v>
      </c>
      <c r="S12" s="89">
        <v>0.1043335858746119</v>
      </c>
      <c r="T12" s="88">
        <v>0.13076468360191856</v>
      </c>
      <c r="U12" s="88">
        <v>0.21279282434477945</v>
      </c>
      <c r="V12" s="88">
        <v>9.5820925849265978E-2</v>
      </c>
      <c r="W12" s="88">
        <v>0.10350418098678651</v>
      </c>
      <c r="X12" s="88">
        <v>8.3148778345129085E-2</v>
      </c>
      <c r="Y12" s="88">
        <v>0.15348845991977889</v>
      </c>
      <c r="Z12" s="88">
        <v>0.176153601468511</v>
      </c>
      <c r="AA12" s="88">
        <v>1</v>
      </c>
      <c r="AB12" s="88"/>
      <c r="AC12" s="88"/>
    </row>
    <row r="13" spans="1:29" x14ac:dyDescent="0.2">
      <c r="A13" s="84">
        <v>38943</v>
      </c>
      <c r="B13" s="85">
        <v>-1.7945780832378855E-2</v>
      </c>
      <c r="C13" s="85">
        <v>6.6385372714486524E-2</v>
      </c>
      <c r="D13" s="85">
        <v>2.2925764192139653E-2</v>
      </c>
      <c r="E13" s="85">
        <v>-3.7887757518351162E-3</v>
      </c>
      <c r="F13" s="85">
        <v>7.9914757591903474E-3</v>
      </c>
      <c r="G13" s="85">
        <v>4.1739894551844348E-3</v>
      </c>
      <c r="H13" s="85">
        <v>1.6210082671421766E-3</v>
      </c>
      <c r="I13" s="85">
        <v>6.0975609756097615E-3</v>
      </c>
      <c r="J13" s="85">
        <v>2.3887727679903215E-3</v>
      </c>
      <c r="K13" s="85">
        <v>2.8317771314863238E-2</v>
      </c>
      <c r="L13" s="85">
        <v>-1.4445648248465615E-3</v>
      </c>
      <c r="M13" s="85">
        <v>1.7356754496026694E-2</v>
      </c>
      <c r="N13" s="86">
        <f t="shared" si="0"/>
        <v>1.1173279044464385E-2</v>
      </c>
      <c r="P13" s="87" t="s">
        <v>231</v>
      </c>
      <c r="Q13" s="88">
        <v>0.15942854340003343</v>
      </c>
      <c r="R13" s="88">
        <v>0.20563594895371409</v>
      </c>
      <c r="S13" s="89">
        <v>0.19811636627574888</v>
      </c>
      <c r="T13" s="88">
        <v>0.19250689316504202</v>
      </c>
      <c r="U13" s="88">
        <v>0.24673002774197503</v>
      </c>
      <c r="V13" s="88">
        <v>0.14792480509053413</v>
      </c>
      <c r="W13" s="88">
        <v>0.1745997742805834</v>
      </c>
      <c r="X13" s="88">
        <v>-0.11781599214720924</v>
      </c>
      <c r="Y13" s="88">
        <v>0.13995093268798856</v>
      </c>
      <c r="Z13" s="88">
        <v>0.24567081670611673</v>
      </c>
      <c r="AA13" s="88">
        <v>2.9881191995932064E-2</v>
      </c>
      <c r="AB13" s="88">
        <v>1</v>
      </c>
      <c r="AC13" s="88"/>
    </row>
    <row r="14" spans="1:29" ht="13.5" thickBot="1" x14ac:dyDescent="0.25">
      <c r="A14" s="84">
        <v>38936</v>
      </c>
      <c r="B14" s="85">
        <v>-2.2550544323483579E-2</v>
      </c>
      <c r="C14" s="85">
        <v>-8.1772619361645815E-2</v>
      </c>
      <c r="D14" s="85">
        <v>-4.2689434364994616E-2</v>
      </c>
      <c r="E14" s="85">
        <v>-3.565486094604231E-2</v>
      </c>
      <c r="F14" s="85">
        <v>-6.4482029598308843E-2</v>
      </c>
      <c r="G14" s="85">
        <v>-3.894115073288118E-2</v>
      </c>
      <c r="H14" s="85">
        <v>-1.0195824567082123E-2</v>
      </c>
      <c r="I14" s="85">
        <v>-0.13160173160173172</v>
      </c>
      <c r="J14" s="85">
        <v>-2.6511766458147124E-2</v>
      </c>
      <c r="K14" s="85">
        <v>-4.182792497767196E-2</v>
      </c>
      <c r="L14" s="85">
        <v>1.2658227848101333E-2</v>
      </c>
      <c r="M14" s="85">
        <v>-4.7276464542650443E-3</v>
      </c>
      <c r="N14" s="86">
        <f t="shared" si="0"/>
        <v>-4.0691442128179413E-2</v>
      </c>
      <c r="P14" s="90" t="s">
        <v>232</v>
      </c>
      <c r="Q14" s="91">
        <v>0.45672822179784911</v>
      </c>
      <c r="R14" s="91">
        <v>0.57042048175645543</v>
      </c>
      <c r="S14" s="92">
        <v>0.55185761981136172</v>
      </c>
      <c r="T14" s="91">
        <v>0.57829503621479428</v>
      </c>
      <c r="U14" s="91">
        <v>0.54848516085742682</v>
      </c>
      <c r="V14" s="91">
        <v>0.57939831071094461</v>
      </c>
      <c r="W14" s="91">
        <v>0.36869258410614691</v>
      </c>
      <c r="X14" s="91">
        <v>0.41952208232540122</v>
      </c>
      <c r="Y14" s="91">
        <v>0.54690708956086675</v>
      </c>
      <c r="Z14" s="91">
        <v>0.38998997697783516</v>
      </c>
      <c r="AA14" s="91">
        <v>0.52876696227844988</v>
      </c>
      <c r="AB14" s="91">
        <v>0.3343739772206426</v>
      </c>
      <c r="AC14" s="91">
        <v>1</v>
      </c>
    </row>
    <row r="15" spans="1:29" x14ac:dyDescent="0.2">
      <c r="A15" s="84">
        <v>38929</v>
      </c>
      <c r="B15" s="85">
        <v>1.511535401750197E-2</v>
      </c>
      <c r="C15" s="85">
        <v>-2.2120080436656253E-2</v>
      </c>
      <c r="D15" s="85">
        <v>4.8309178743961567E-3</v>
      </c>
      <c r="E15" s="85">
        <v>2.8839043628296812E-2</v>
      </c>
      <c r="F15" s="85">
        <v>2.9943502824858914E-2</v>
      </c>
      <c r="G15" s="85">
        <v>2.7088549965854636E-2</v>
      </c>
      <c r="H15" s="85">
        <v>-2.7795945062131233E-3</v>
      </c>
      <c r="I15" s="85">
        <v>-4.9850448654036317E-3</v>
      </c>
      <c r="J15" s="85">
        <v>3.5648714810281534E-2</v>
      </c>
      <c r="K15" s="85">
        <v>3.5886282429703265E-2</v>
      </c>
      <c r="L15" s="85">
        <v>-7.1428571428571175E-3</v>
      </c>
      <c r="M15" s="85">
        <v>3.9239983477901141E-3</v>
      </c>
      <c r="N15" s="86">
        <f t="shared" si="0"/>
        <v>1.202073224562944E-2</v>
      </c>
    </row>
    <row r="16" spans="1:29" x14ac:dyDescent="0.2">
      <c r="A16" s="84">
        <v>38922</v>
      </c>
      <c r="B16" s="85">
        <v>1.5086206896551824E-2</v>
      </c>
      <c r="C16" s="85">
        <v>-5.0822561692126844E-2</v>
      </c>
      <c r="D16" s="85">
        <v>-1.1094674556213047E-2</v>
      </c>
      <c r="E16" s="85">
        <v>-2.9707714422616216E-2</v>
      </c>
      <c r="F16" s="85">
        <v>2.7975863960504554E-2</v>
      </c>
      <c r="G16" s="85">
        <v>7.9787234042552058E-3</v>
      </c>
      <c r="H16" s="85">
        <v>-8.1980652566004952E-4</v>
      </c>
      <c r="I16" s="85">
        <v>3.0060120240480881E-2</v>
      </c>
      <c r="J16" s="85">
        <v>-2.1568917122174569E-2</v>
      </c>
      <c r="K16" s="85">
        <v>1.1397720455908589E-2</v>
      </c>
      <c r="L16" s="85">
        <v>-5.2517985611510776E-2</v>
      </c>
      <c r="M16" s="85">
        <v>-3.4560789960913385E-2</v>
      </c>
      <c r="N16" s="86">
        <f t="shared" si="0"/>
        <v>-9.0494845777928188E-3</v>
      </c>
      <c r="P16" s="81" t="s">
        <v>241</v>
      </c>
    </row>
    <row r="17" spans="1:14" x14ac:dyDescent="0.2">
      <c r="A17" s="84">
        <v>38915</v>
      </c>
      <c r="B17" s="85">
        <v>-2.5091681142637157E-3</v>
      </c>
      <c r="C17" s="85">
        <v>6.1900340451870317E-3</v>
      </c>
      <c r="D17" s="85">
        <v>-5.6095736724008916E-3</v>
      </c>
      <c r="E17" s="85">
        <v>-7.407407407407407E-2</v>
      </c>
      <c r="F17" s="85">
        <v>-3.8420490928495088E-2</v>
      </c>
      <c r="G17" s="85">
        <v>-5.1231310466138935E-2</v>
      </c>
      <c r="H17" s="85">
        <v>-3.0685920577617321E-2</v>
      </c>
      <c r="I17" s="85">
        <v>-2.9182879377431803E-2</v>
      </c>
      <c r="J17" s="85">
        <v>-5.6167899743318817E-2</v>
      </c>
      <c r="K17" s="85">
        <v>-7.4436536180308321E-2</v>
      </c>
      <c r="L17" s="85">
        <v>-1.8602885345482045E-2</v>
      </c>
      <c r="M17" s="85">
        <v>-8.0971659919029104E-3</v>
      </c>
      <c r="N17" s="86">
        <f t="shared" si="0"/>
        <v>-3.1902322535520576E-2</v>
      </c>
    </row>
    <row r="18" spans="1:14" x14ac:dyDescent="0.2">
      <c r="A18" s="84">
        <v>38908</v>
      </c>
      <c r="B18" s="85">
        <v>-2.6315789473684181E-2</v>
      </c>
      <c r="C18" s="85">
        <v>5.0753614272531555E-2</v>
      </c>
      <c r="D18" s="85">
        <v>-3.986461075592318E-2</v>
      </c>
      <c r="E18" s="85">
        <v>-6.6666666666667096E-3</v>
      </c>
      <c r="F18" s="85">
        <v>-6.6592674805772134E-3</v>
      </c>
      <c r="G18" s="85">
        <v>-5.237543453070681E-2</v>
      </c>
      <c r="H18" s="85">
        <v>6.0944641950229084E-3</v>
      </c>
      <c r="I18" s="85">
        <v>4.0080160320641323E-2</v>
      </c>
      <c r="J18" s="85">
        <v>-2.911534154535278E-2</v>
      </c>
      <c r="K18" s="85">
        <v>6.0877923742388429E-3</v>
      </c>
      <c r="L18" s="85">
        <v>3.8684719535783341E-2</v>
      </c>
      <c r="M18" s="85">
        <v>-1.2030075187969835E-2</v>
      </c>
      <c r="N18" s="86">
        <f t="shared" si="0"/>
        <v>-2.610536245221895E-3</v>
      </c>
    </row>
    <row r="19" spans="1:14" x14ac:dyDescent="0.2">
      <c r="A19" s="84">
        <v>38901</v>
      </c>
      <c r="B19" s="85">
        <v>8.9427662957075604E-3</v>
      </c>
      <c r="C19" s="85">
        <v>4.3618266978922682E-2</v>
      </c>
      <c r="D19" s="85">
        <v>-3.368585977281624E-2</v>
      </c>
      <c r="E19" s="85">
        <v>1.4228187919463009E-2</v>
      </c>
      <c r="F19" s="85">
        <v>4.6927374301676039E-2</v>
      </c>
      <c r="G19" s="85">
        <v>3.7172902910246997E-2</v>
      </c>
      <c r="H19" s="85">
        <v>1.9855291940097608E-2</v>
      </c>
      <c r="I19" s="85">
        <v>3.1791907514450823E-2</v>
      </c>
      <c r="J19" s="85">
        <v>5.3715603888614405E-2</v>
      </c>
      <c r="K19" s="85">
        <v>7.5159235668789792E-2</v>
      </c>
      <c r="L19" s="85">
        <v>2.9795158286778367E-3</v>
      </c>
      <c r="M19" s="85">
        <v>-3.0441400304414001E-3</v>
      </c>
      <c r="N19" s="86">
        <f t="shared" si="0"/>
        <v>2.4805087786949093E-2</v>
      </c>
    </row>
    <row r="20" spans="1:14" x14ac:dyDescent="0.2">
      <c r="A20" s="84">
        <v>38894</v>
      </c>
      <c r="B20" s="85">
        <v>-5.3181012408903827E-3</v>
      </c>
      <c r="C20" s="85">
        <v>-4.5161290322580649E-2</v>
      </c>
      <c r="D20" s="85">
        <v>-4.4588569112283816E-3</v>
      </c>
      <c r="E20" s="85">
        <v>4.2350449973529436E-3</v>
      </c>
      <c r="F20" s="85">
        <v>4.909284951974402E-2</v>
      </c>
      <c r="G20" s="85">
        <v>-9.6675312426314219E-3</v>
      </c>
      <c r="H20" s="85">
        <v>1.7983831050981669E-2</v>
      </c>
      <c r="I20" s="85">
        <v>4.6685340802987696E-3</v>
      </c>
      <c r="J20" s="85">
        <v>-1.1571540265832736E-2</v>
      </c>
      <c r="K20" s="85">
        <v>-3.584123222748814E-2</v>
      </c>
      <c r="L20" s="85">
        <v>2.6735982176011808E-2</v>
      </c>
      <c r="M20" s="85">
        <v>-2.2028353326063232E-2</v>
      </c>
      <c r="N20" s="86">
        <f t="shared" si="0"/>
        <v>-2.6108886426938114E-3</v>
      </c>
    </row>
    <row r="21" spans="1:14" x14ac:dyDescent="0.2">
      <c r="A21" s="84">
        <v>38887</v>
      </c>
      <c r="B21" s="85">
        <v>-1.0099009900990108E-2</v>
      </c>
      <c r="C21" s="85">
        <v>-3.0258519388954186E-2</v>
      </c>
      <c r="D21" s="85">
        <v>-2.4837133550488555E-2</v>
      </c>
      <c r="E21" s="85">
        <v>-1.871375856615709E-2</v>
      </c>
      <c r="F21" s="85">
        <v>-4.4252288911495463E-2</v>
      </c>
      <c r="G21" s="85">
        <v>-2.6904761904761987E-2</v>
      </c>
      <c r="H21" s="85">
        <v>-1.1345218800648316E-2</v>
      </c>
      <c r="I21" s="85">
        <v>-5.9479553903345805E-2</v>
      </c>
      <c r="J21" s="85">
        <v>-5.5529188419553788E-2</v>
      </c>
      <c r="K21" s="85">
        <v>-1.8740399385560602E-2</v>
      </c>
      <c r="L21" s="85">
        <v>5.0632911392405333E-3</v>
      </c>
      <c r="M21" s="85">
        <v>-2.7430865298840423E-2</v>
      </c>
      <c r="N21" s="86">
        <f t="shared" si="0"/>
        <v>-2.687728390762965E-2</v>
      </c>
    </row>
    <row r="22" spans="1:14" x14ac:dyDescent="0.2">
      <c r="A22" s="84">
        <v>38880</v>
      </c>
      <c r="B22" s="85">
        <v>1.1402280456091152E-2</v>
      </c>
      <c r="C22" s="85">
        <v>3.0293850348384055E-4</v>
      </c>
      <c r="D22" s="85">
        <v>2.7974947807933193E-2</v>
      </c>
      <c r="E22" s="85">
        <v>1.7996239591727248E-2</v>
      </c>
      <c r="F22" s="85">
        <v>1.4901543374135295E-2</v>
      </c>
      <c r="G22" s="85">
        <v>-1.737215561536587E-2</v>
      </c>
      <c r="H22" s="85">
        <v>-2.6229508196721207E-3</v>
      </c>
      <c r="I22" s="85">
        <v>2.9644268774703608E-2</v>
      </c>
      <c r="J22" s="85">
        <v>-4.5393634840871E-2</v>
      </c>
      <c r="K22" s="85">
        <v>8.7664370695053062E-3</v>
      </c>
      <c r="L22" s="85">
        <v>2.5548758546239725E-2</v>
      </c>
      <c r="M22" s="85">
        <v>-9.4015134143544676E-3</v>
      </c>
      <c r="N22" s="86">
        <f t="shared" si="0"/>
        <v>5.1455966194629927E-3</v>
      </c>
    </row>
    <row r="23" spans="1:14" x14ac:dyDescent="0.2">
      <c r="A23" s="84">
        <v>38873</v>
      </c>
      <c r="B23" s="85">
        <v>1.9778481012657778E-3</v>
      </c>
      <c r="C23" s="85">
        <v>-2.3622047244094557E-2</v>
      </c>
      <c r="D23" s="85">
        <v>1.5434606011372809E-2</v>
      </c>
      <c r="E23" s="85">
        <v>2.5329815303430037E-2</v>
      </c>
      <c r="F23" s="85">
        <v>1.8877818563188153E-2</v>
      </c>
      <c r="G23" s="85">
        <v>4.8306772908366602E-2</v>
      </c>
      <c r="H23" s="85">
        <v>3.6160420775805946E-3</v>
      </c>
      <c r="I23" s="85">
        <v>-1.3435700575815779E-2</v>
      </c>
      <c r="J23" s="85">
        <v>3.8603263730478954E-2</v>
      </c>
      <c r="K23" s="85">
        <v>3.4916201117318524E-2</v>
      </c>
      <c r="L23" s="85">
        <v>0.11859649122807014</v>
      </c>
      <c r="M23" s="85">
        <v>-1.3657407407407507E-2</v>
      </c>
      <c r="N23" s="86">
        <f t="shared" si="0"/>
        <v>2.1245308651146145E-2</v>
      </c>
    </row>
    <row r="24" spans="1:14" x14ac:dyDescent="0.2">
      <c r="A24" s="84">
        <v>38867</v>
      </c>
      <c r="B24" s="85">
        <v>-2.1713383339913017E-3</v>
      </c>
      <c r="C24" s="85">
        <v>5.2729528535977455E-3</v>
      </c>
      <c r="D24" s="85">
        <v>3.9599999999999858E-2</v>
      </c>
      <c r="E24" s="85">
        <v>-1.2609366958311941E-2</v>
      </c>
      <c r="F24" s="85">
        <v>-7.2053525476067914E-3</v>
      </c>
      <c r="G24" s="85">
        <v>4.0617577197149757E-2</v>
      </c>
      <c r="H24" s="85">
        <v>-4.2581067802163197E-3</v>
      </c>
      <c r="I24" s="85">
        <v>0.11721789883268485</v>
      </c>
      <c r="J24" s="85">
        <v>2.3652644027707392E-2</v>
      </c>
      <c r="K24" s="85">
        <v>2.2192232718548643E-2</v>
      </c>
      <c r="L24" s="85">
        <v>7.2772898368883343E-2</v>
      </c>
      <c r="M24" s="85">
        <v>9.387467730579413E-4</v>
      </c>
      <c r="N24" s="86">
        <f t="shared" si="0"/>
        <v>2.4668398845958599E-2</v>
      </c>
    </row>
    <row r="25" spans="1:14" x14ac:dyDescent="0.2">
      <c r="A25" s="84">
        <v>38859</v>
      </c>
      <c r="B25" s="85">
        <v>-2.0969337289811985E-2</v>
      </c>
      <c r="C25" s="85">
        <v>-4.9367479173093587E-3</v>
      </c>
      <c r="D25" s="85">
        <v>-2.8472489419007263E-2</v>
      </c>
      <c r="E25" s="85">
        <v>-1.7722178785509524E-2</v>
      </c>
      <c r="F25" s="85">
        <v>-6.7392431311560363E-3</v>
      </c>
      <c r="G25" s="85">
        <v>-1.3238986532755237E-2</v>
      </c>
      <c r="H25" s="85">
        <v>-1.1184210526315796E-2</v>
      </c>
      <c r="I25" s="85">
        <v>-5.2242054854156894E-3</v>
      </c>
      <c r="J25" s="85">
        <v>-3.300874731804182E-4</v>
      </c>
      <c r="K25" s="85">
        <v>-4.8261698694440414E-2</v>
      </c>
      <c r="L25" s="85">
        <v>-1.1988304093567326E-2</v>
      </c>
      <c r="M25" s="85">
        <v>-3.1652989449003521E-2</v>
      </c>
      <c r="N25" s="86">
        <f t="shared" si="0"/>
        <v>-1.6726706566456046E-2</v>
      </c>
    </row>
    <row r="26" spans="1:14" x14ac:dyDescent="0.2">
      <c r="A26" s="84">
        <v>38852</v>
      </c>
      <c r="B26" s="85">
        <v>-1.4952515659729326E-2</v>
      </c>
      <c r="C26" s="85">
        <v>1.6744186046511622E-2</v>
      </c>
      <c r="D26" s="85">
        <v>-7.128712871287135E-3</v>
      </c>
      <c r="E26" s="85">
        <v>-1.1939506500397878E-2</v>
      </c>
      <c r="F26" s="85">
        <v>0</v>
      </c>
      <c r="G26" s="85">
        <v>-1.1103400416377474E-2</v>
      </c>
      <c r="H26" s="85">
        <v>-5.322687957418526E-3</v>
      </c>
      <c r="I26" s="85">
        <v>3.5010940919035782E-3</v>
      </c>
      <c r="J26" s="85">
        <v>-1.0401188707280906E-2</v>
      </c>
      <c r="K26" s="85">
        <v>3.0826140567201676E-3</v>
      </c>
      <c r="L26" s="85">
        <v>-2.3379698135543081E-2</v>
      </c>
      <c r="M26" s="85">
        <v>-2.421307506053183E-3</v>
      </c>
      <c r="N26" s="86">
        <f t="shared" si="0"/>
        <v>-5.2767602965793454E-3</v>
      </c>
    </row>
    <row r="27" spans="1:14" x14ac:dyDescent="0.2">
      <c r="A27" s="84">
        <v>38845</v>
      </c>
      <c r="B27" s="85">
        <v>-2.666666666666706E-3</v>
      </c>
      <c r="C27" s="85">
        <v>-3.9646233607808501E-3</v>
      </c>
      <c r="D27" s="85">
        <v>1.7151974471479869E-2</v>
      </c>
      <c r="E27" s="85">
        <v>5.3705692803436289E-3</v>
      </c>
      <c r="F27" s="85">
        <v>4.6972860125260585E-3</v>
      </c>
      <c r="G27" s="85">
        <v>3.6725146198830494E-2</v>
      </c>
      <c r="H27" s="85">
        <v>2.6923076923076827E-2</v>
      </c>
      <c r="I27" s="85">
        <v>2.5294374182293966E-2</v>
      </c>
      <c r="J27" s="85">
        <v>5.5889222555889351E-2</v>
      </c>
      <c r="K27" s="85">
        <v>-5.5162876459741828E-2</v>
      </c>
      <c r="L27" s="85">
        <v>9.0909090909090828E-2</v>
      </c>
      <c r="M27" s="85">
        <v>-2.9854368932038966E-2</v>
      </c>
      <c r="N27" s="86">
        <f t="shared" si="0"/>
        <v>1.4276017092858556E-2</v>
      </c>
    </row>
    <row r="28" spans="1:14" x14ac:dyDescent="0.2">
      <c r="A28" s="84">
        <v>38838</v>
      </c>
      <c r="B28" s="85">
        <v>3.7227478403949021E-2</v>
      </c>
      <c r="C28" s="85">
        <v>2.1126760563380476E-2</v>
      </c>
      <c r="D28" s="85">
        <v>4.4705882352941151E-2</v>
      </c>
      <c r="E28" s="85">
        <v>3.4188034188034289E-2</v>
      </c>
      <c r="F28" s="85">
        <v>0.20363636363636362</v>
      </c>
      <c r="G28" s="85">
        <v>5.2572202166064841E-2</v>
      </c>
      <c r="H28" s="85">
        <v>-2.8822667318026296E-2</v>
      </c>
      <c r="I28" s="85">
        <v>7.0182900893236866E-2</v>
      </c>
      <c r="J28" s="85">
        <v>3.5392637067467314E-2</v>
      </c>
      <c r="K28" s="85">
        <v>8.8794926004228447E-2</v>
      </c>
      <c r="L28" s="85">
        <v>8.4166666666666723E-2</v>
      </c>
      <c r="M28" s="85">
        <v>3.927945959469592E-2</v>
      </c>
      <c r="N28" s="86">
        <f t="shared" si="0"/>
        <v>5.6870887018250195E-2</v>
      </c>
    </row>
    <row r="29" spans="1:14" x14ac:dyDescent="0.2">
      <c r="A29" s="84">
        <v>38831</v>
      </c>
      <c r="B29" s="85">
        <v>-1.1897679952409534E-3</v>
      </c>
      <c r="C29" s="85">
        <v>-2.8485757121439415E-2</v>
      </c>
      <c r="D29" s="85">
        <v>7.8828828828829689E-3</v>
      </c>
      <c r="E29" s="85">
        <v>1.3429752066115741E-2</v>
      </c>
      <c r="F29" s="85">
        <v>-3.1074665515753219E-2</v>
      </c>
      <c r="G29" s="85">
        <v>-2.722400857449081E-2</v>
      </c>
      <c r="H29" s="85">
        <v>-1.8611670020120763E-2</v>
      </c>
      <c r="I29" s="85">
        <v>-8.9825119236883966E-2</v>
      </c>
      <c r="J29" s="85">
        <v>-1.877002899435376E-2</v>
      </c>
      <c r="K29" s="85">
        <v>-1.6579536967886499E-2</v>
      </c>
      <c r="L29" s="85">
        <v>-4.6887009992313544E-2</v>
      </c>
      <c r="M29" s="85">
        <v>9.3885411651419837E-3</v>
      </c>
      <c r="N29" s="86">
        <f t="shared" si="0"/>
        <v>-2.0662199025361854E-2</v>
      </c>
    </row>
    <row r="30" spans="1:14" x14ac:dyDescent="0.2">
      <c r="A30" s="84">
        <v>38824</v>
      </c>
      <c r="B30" s="85">
        <v>-1.7867778439546456E-3</v>
      </c>
      <c r="C30" s="85">
        <v>-3.5493827160493763E-2</v>
      </c>
      <c r="D30" s="85">
        <v>1.8621973929235924E-3</v>
      </c>
      <c r="E30" s="85">
        <v>4.1284403669724634E-2</v>
      </c>
      <c r="F30" s="85">
        <v>5.4342984409799566E-2</v>
      </c>
      <c r="G30" s="85">
        <v>-6.3464081092992508E-2</v>
      </c>
      <c r="H30" s="85">
        <v>-2.2894242268922005E-2</v>
      </c>
      <c r="I30" s="85">
        <v>1.3100436681223737E-3</v>
      </c>
      <c r="J30" s="85">
        <v>1.1353032659409124E-2</v>
      </c>
      <c r="K30" s="85">
        <v>-1.5643985419198092E-2</v>
      </c>
      <c r="L30" s="85">
        <v>4.005376344085998E-2</v>
      </c>
      <c r="M30" s="85">
        <v>1.1447650846649005E-2</v>
      </c>
      <c r="N30" s="86">
        <f t="shared" si="0"/>
        <v>1.864263525160605E-3</v>
      </c>
    </row>
    <row r="31" spans="1:14" x14ac:dyDescent="0.2">
      <c r="A31" s="84">
        <v>38817</v>
      </c>
      <c r="B31" s="85">
        <v>-1.7303102625298439E-2</v>
      </c>
      <c r="C31" s="85">
        <v>-4.5440000000000036E-2</v>
      </c>
      <c r="D31" s="85">
        <v>-2.3420074349442377E-2</v>
      </c>
      <c r="E31" s="85">
        <v>-2.8634361233480177E-2</v>
      </c>
      <c r="F31" s="85">
        <v>-3.0840726658217132E-2</v>
      </c>
      <c r="G31" s="85">
        <v>-7.2941176470588953E-3</v>
      </c>
      <c r="H31" s="85">
        <v>1.0491344640672917E-3</v>
      </c>
      <c r="I31" s="85">
        <v>-1.8752725686873029E-2</v>
      </c>
      <c r="J31" s="85">
        <v>-3.152391204059668E-2</v>
      </c>
      <c r="K31" s="85">
        <v>1.6972689399783913E-2</v>
      </c>
      <c r="L31" s="85">
        <v>-3.8769707934866893E-2</v>
      </c>
      <c r="M31" s="85">
        <v>1.6741334590898438E-2</v>
      </c>
      <c r="N31" s="86">
        <f t="shared" si="0"/>
        <v>-1.7267964143423669E-2</v>
      </c>
    </row>
    <row r="32" spans="1:14" x14ac:dyDescent="0.2">
      <c r="A32" s="84">
        <v>38810</v>
      </c>
      <c r="B32" s="85">
        <v>4.6549281521959252E-3</v>
      </c>
      <c r="C32" s="85">
        <v>5.0284948038887833E-3</v>
      </c>
      <c r="D32" s="85">
        <v>2.4743052912067132E-2</v>
      </c>
      <c r="E32" s="85">
        <v>3.3257747543461891E-2</v>
      </c>
      <c r="F32" s="85">
        <v>1.0026155187445429E-2</v>
      </c>
      <c r="G32" s="85">
        <v>-1.1614126570277161E-2</v>
      </c>
      <c r="H32" s="85">
        <v>1.3973799126636433E-3</v>
      </c>
      <c r="I32" s="85">
        <v>-1.5111111111111075E-2</v>
      </c>
      <c r="J32" s="85">
        <v>1.2543664655446207E-2</v>
      </c>
      <c r="K32" s="85">
        <v>2.2303140646335873E-2</v>
      </c>
      <c r="L32" s="85">
        <v>-8.6044635654746182E-3</v>
      </c>
      <c r="M32" s="85">
        <v>4.8701298701299134E-3</v>
      </c>
      <c r="N32" s="86">
        <f t="shared" si="0"/>
        <v>6.9579160363976615E-3</v>
      </c>
    </row>
    <row r="33" spans="1:14" x14ac:dyDescent="0.2">
      <c r="A33" s="84">
        <v>38803</v>
      </c>
      <c r="B33" s="85">
        <v>3.6261079774375649E-3</v>
      </c>
      <c r="C33" s="85">
        <v>-4.002668445630464E-3</v>
      </c>
      <c r="D33" s="85">
        <v>1.9687964338781505E-2</v>
      </c>
      <c r="E33" s="85">
        <v>4.0965618141916682E-2</v>
      </c>
      <c r="F33" s="85">
        <v>-1.294777729823049E-2</v>
      </c>
      <c r="G33" s="85">
        <v>-1.4388489208633226E-3</v>
      </c>
      <c r="H33" s="85">
        <v>8.1981510552939785E-3</v>
      </c>
      <c r="I33" s="85">
        <v>-4.5126353790625462E-4</v>
      </c>
      <c r="J33" s="85">
        <v>-1.4897287125607672E-2</v>
      </c>
      <c r="K33" s="85">
        <v>3.5618878005343468E-3</v>
      </c>
      <c r="L33" s="85">
        <v>5.695687550854367E-2</v>
      </c>
      <c r="M33" s="85">
        <v>-4.6157396722823485E-3</v>
      </c>
      <c r="N33" s="86">
        <f t="shared" si="0"/>
        <v>7.8869183184989335E-3</v>
      </c>
    </row>
    <row r="34" spans="1:14" x14ac:dyDescent="0.2">
      <c r="A34" s="84">
        <v>38796</v>
      </c>
      <c r="B34" s="85">
        <v>1.4251304696908829E-2</v>
      </c>
      <c r="C34" s="85">
        <v>-5.4922973878097858E-2</v>
      </c>
      <c r="D34" s="85">
        <v>1.4571948998178819E-3</v>
      </c>
      <c r="E34" s="85">
        <v>4.9191848208012257E-3</v>
      </c>
      <c r="F34" s="85">
        <v>-2.1862702229995534E-3</v>
      </c>
      <c r="G34" s="85">
        <v>1.1047070124879932E-2</v>
      </c>
      <c r="H34" s="85">
        <v>2.1453287197231941E-2</v>
      </c>
      <c r="I34" s="85">
        <v>-2.2573363431149795E-3</v>
      </c>
      <c r="J34" s="85">
        <v>-2.1489971346704939E-2</v>
      </c>
      <c r="K34" s="85">
        <v>-2.4992605737947371E-2</v>
      </c>
      <c r="L34" s="85">
        <v>-1.8475750577367167E-2</v>
      </c>
      <c r="M34" s="85">
        <v>2.8750289821469766E-2</v>
      </c>
      <c r="N34" s="86">
        <f t="shared" ref="N34:N65" si="1">AVERAGE(B34:M34)</f>
        <v>-3.5372147120935247E-3</v>
      </c>
    </row>
    <row r="35" spans="1:14" x14ac:dyDescent="0.2">
      <c r="A35" s="84">
        <v>38789</v>
      </c>
      <c r="B35" s="85">
        <v>5.9370670888581056E-3</v>
      </c>
      <c r="C35" s="85">
        <v>2.3033309709425964E-2</v>
      </c>
      <c r="D35" s="85">
        <v>-2.2917424518006491E-2</v>
      </c>
      <c r="E35" s="85">
        <v>-1.7482517482517501E-2</v>
      </c>
      <c r="F35" s="85">
        <v>2.191060473269113E-3</v>
      </c>
      <c r="G35" s="85">
        <v>-1.6627078384798155E-2</v>
      </c>
      <c r="H35" s="85">
        <v>-8.4688346883465826E-4</v>
      </c>
      <c r="I35" s="85">
        <v>-2.8959276018099556E-2</v>
      </c>
      <c r="J35" s="85">
        <v>-1.9684398893769384E-2</v>
      </c>
      <c r="K35" s="85">
        <v>1.9414530562717802E-2</v>
      </c>
      <c r="L35" s="85">
        <v>-3.9215686274509665E-3</v>
      </c>
      <c r="M35" s="85">
        <v>2.1410863195853169E-2</v>
      </c>
      <c r="N35" s="86">
        <f t="shared" si="1"/>
        <v>-3.2043596969460464E-3</v>
      </c>
    </row>
    <row r="36" spans="1:14" x14ac:dyDescent="0.2">
      <c r="A36" s="84">
        <v>38782</v>
      </c>
      <c r="B36" s="85">
        <v>-8.0661026952586479E-3</v>
      </c>
      <c r="C36" s="85">
        <v>1.9397298233460258E-2</v>
      </c>
      <c r="D36" s="85">
        <v>-7.8183172002979084E-3</v>
      </c>
      <c r="E36" s="85">
        <v>-4.0806642941874194E-2</v>
      </c>
      <c r="F36" s="85">
        <v>-2.3174464363795444E-2</v>
      </c>
      <c r="G36" s="85">
        <v>-6.5217391304346339E-3</v>
      </c>
      <c r="H36" s="85">
        <v>-6.611290049160834E-3</v>
      </c>
      <c r="I36" s="85">
        <v>-1.9571295433364444E-2</v>
      </c>
      <c r="J36" s="85">
        <v>-1.8918021905077964E-2</v>
      </c>
      <c r="K36" s="85">
        <v>-2.9311114417497341E-2</v>
      </c>
      <c r="L36" s="85">
        <v>-5.3805774278215313E-2</v>
      </c>
      <c r="M36" s="85">
        <v>2.8684907325684517E-3</v>
      </c>
      <c r="N36" s="86">
        <f t="shared" si="1"/>
        <v>-1.6028247787412336E-2</v>
      </c>
    </row>
    <row r="37" spans="1:14" x14ac:dyDescent="0.2">
      <c r="A37" s="84">
        <v>38775</v>
      </c>
      <c r="B37" s="85">
        <v>3.7683458944863801E-3</v>
      </c>
      <c r="C37" s="85">
        <v>-4.3153244988107353E-2</v>
      </c>
      <c r="D37" s="85">
        <v>7.5046904315199114E-3</v>
      </c>
      <c r="E37" s="85">
        <v>-5.16942864209744E-2</v>
      </c>
      <c r="F37" s="85">
        <v>5.3715308863027111E-3</v>
      </c>
      <c r="G37" s="85">
        <v>1.1184050571359183E-2</v>
      </c>
      <c r="H37" s="85">
        <v>1.2969283276450527E-2</v>
      </c>
      <c r="I37" s="85">
        <v>3.8973384030418279E-2</v>
      </c>
      <c r="J37" s="85">
        <v>1.0148849797023018E-2</v>
      </c>
      <c r="K37" s="85">
        <v>-4.4911097486204699E-2</v>
      </c>
      <c r="L37" s="85">
        <v>-4.965325936199716E-2</v>
      </c>
      <c r="M37" s="85">
        <v>-2.3322332233223331E-2</v>
      </c>
      <c r="N37" s="86">
        <f t="shared" si="1"/>
        <v>-1.023450713357891E-2</v>
      </c>
    </row>
    <row r="38" spans="1:14" x14ac:dyDescent="0.2">
      <c r="A38" s="84">
        <v>38769</v>
      </c>
      <c r="B38" s="85">
        <v>1.027464927879862E-2</v>
      </c>
      <c r="C38" s="85">
        <v>-0.10511363636363635</v>
      </c>
      <c r="D38" s="85">
        <v>1.3407821229050265E-2</v>
      </c>
      <c r="E38" s="85">
        <v>3.077725612936888E-2</v>
      </c>
      <c r="F38" s="85">
        <v>-1.825467497773825E-2</v>
      </c>
      <c r="G38" s="85">
        <v>1.683096898292602E-3</v>
      </c>
      <c r="H38" s="85">
        <v>5.5592991913746559E-3</v>
      </c>
      <c r="I38" s="85">
        <v>-8.1427264409881128E-2</v>
      </c>
      <c r="J38" s="85">
        <v>1.8586738111185497E-2</v>
      </c>
      <c r="K38" s="85">
        <v>-2.9690258385491886E-2</v>
      </c>
      <c r="L38" s="85">
        <v>1.6053706946876911E-2</v>
      </c>
      <c r="M38" s="85">
        <v>2.3653976120747933E-2</v>
      </c>
      <c r="N38" s="86">
        <f t="shared" si="1"/>
        <v>-9.5407741859210218E-3</v>
      </c>
    </row>
    <row r="39" spans="1:14" x14ac:dyDescent="0.2">
      <c r="A39" s="84">
        <v>38761</v>
      </c>
      <c r="B39" s="85">
        <v>-1.8971249755525221E-2</v>
      </c>
      <c r="C39" s="85">
        <v>2.420634920634912E-2</v>
      </c>
      <c r="D39" s="85">
        <v>-6.063947078280052E-2</v>
      </c>
      <c r="E39" s="85">
        <v>-1.568825910931182E-2</v>
      </c>
      <c r="F39" s="85">
        <v>-3.6281179138322073E-2</v>
      </c>
      <c r="G39" s="85">
        <v>-2.1123379740758397E-2</v>
      </c>
      <c r="H39" s="85">
        <v>-1.8931144245267095E-2</v>
      </c>
      <c r="I39" s="85">
        <v>-2.6892430278884438E-2</v>
      </c>
      <c r="J39" s="85">
        <v>-3.2878513891165806E-4</v>
      </c>
      <c r="K39" s="85">
        <v>7.6083360899767971E-3</v>
      </c>
      <c r="L39" s="85">
        <v>-2.6141913243320936E-2</v>
      </c>
      <c r="M39" s="85">
        <v>1.0343309859154992E-2</v>
      </c>
      <c r="N39" s="86">
        <f t="shared" si="1"/>
        <v>-1.5236651356468437E-2</v>
      </c>
    </row>
    <row r="40" spans="1:14" x14ac:dyDescent="0.2">
      <c r="A40" s="84">
        <v>38754</v>
      </c>
      <c r="B40" s="85">
        <v>1.0566188197767223E-2</v>
      </c>
      <c r="C40" s="85">
        <v>1.4335528864781066E-2</v>
      </c>
      <c r="D40" s="85">
        <v>-1.6823161189358338E-2</v>
      </c>
      <c r="E40" s="85">
        <v>-2.3136246786632397E-2</v>
      </c>
      <c r="F40" s="85">
        <v>1.6941176470588237E-2</v>
      </c>
      <c r="G40" s="85">
        <v>-2.1088769004413921E-2</v>
      </c>
      <c r="H40" s="85">
        <v>-2.5443989071038287E-2</v>
      </c>
      <c r="I40" s="85">
        <v>-6.0388945752302914E-2</v>
      </c>
      <c r="J40" s="85">
        <v>-8.2223318533135581E-3</v>
      </c>
      <c r="K40" s="85">
        <v>-4.1365725541694043E-2</v>
      </c>
      <c r="L40" s="85">
        <v>-2.9498525073746729E-3</v>
      </c>
      <c r="M40" s="85">
        <v>-5.7721629274667841E-2</v>
      </c>
      <c r="N40" s="86">
        <f t="shared" si="1"/>
        <v>-1.7941479787304954E-2</v>
      </c>
    </row>
    <row r="41" spans="1:14" x14ac:dyDescent="0.2">
      <c r="A41" s="84">
        <v>38747</v>
      </c>
      <c r="B41" s="85">
        <v>-1.006115604655744E-2</v>
      </c>
      <c r="C41" s="85">
        <v>-3.8197097020626902E-3</v>
      </c>
      <c r="D41" s="85">
        <v>-6.7648229208117083E-3</v>
      </c>
      <c r="E41" s="85">
        <v>0</v>
      </c>
      <c r="F41" s="85">
        <v>1.5270708005552969E-2</v>
      </c>
      <c r="G41" s="85">
        <v>-9.769539078156364E-3</v>
      </c>
      <c r="H41" s="85">
        <v>4.0301384264938012E-3</v>
      </c>
      <c r="I41" s="85">
        <v>2.5054466230936878E-2</v>
      </c>
      <c r="J41" s="85">
        <v>1.8736527938981951E-2</v>
      </c>
      <c r="K41" s="85">
        <v>1.1643835616438336E-2</v>
      </c>
      <c r="L41" s="85">
        <v>7.3076923076923261E-2</v>
      </c>
      <c r="M41" s="85">
        <v>9.4775774387425571E-3</v>
      </c>
      <c r="N41" s="86">
        <f t="shared" si="1"/>
        <v>1.0572912415540129E-2</v>
      </c>
    </row>
    <row r="42" spans="1:14" x14ac:dyDescent="0.2">
      <c r="A42" s="84">
        <v>38740</v>
      </c>
      <c r="B42" s="85">
        <v>2.2718214428059103E-2</v>
      </c>
      <c r="C42" s="85">
        <v>-1.5337423312883347E-3</v>
      </c>
      <c r="D42" s="85">
        <v>2.804487179487225E-3</v>
      </c>
      <c r="E42" s="85">
        <v>4.8684210526315885E-2</v>
      </c>
      <c r="F42" s="85">
        <v>-7.6116681859617175E-2</v>
      </c>
      <c r="G42" s="85">
        <v>5.5653933721224735E-3</v>
      </c>
      <c r="H42" s="85">
        <v>2.6178010471204161E-2</v>
      </c>
      <c r="I42" s="85">
        <v>-4.2507970244421989E-3</v>
      </c>
      <c r="J42" s="85">
        <v>-1.07421875E-2</v>
      </c>
      <c r="K42" s="85">
        <v>-7.1090047393365108E-3</v>
      </c>
      <c r="L42" s="85">
        <v>2.7570995312928837E-3</v>
      </c>
      <c r="M42" s="85">
        <v>-1.7861231967025493E-2</v>
      </c>
      <c r="N42" s="86">
        <f t="shared" si="1"/>
        <v>-7.4218582610233175E-4</v>
      </c>
    </row>
    <row r="43" spans="1:14" x14ac:dyDescent="0.2">
      <c r="A43" s="84">
        <v>38734</v>
      </c>
      <c r="B43" s="85">
        <v>1.2275915822291594E-2</v>
      </c>
      <c r="C43" s="85">
        <v>-6.6820276497695841E-2</v>
      </c>
      <c r="D43" s="85">
        <v>-2.3971234518577744E-2</v>
      </c>
      <c r="E43" s="85">
        <v>-3.1367628607277265E-2</v>
      </c>
      <c r="F43" s="85">
        <v>2.7133695115934886E-2</v>
      </c>
      <c r="G43" s="85">
        <v>-4.2767295597484378E-2</v>
      </c>
      <c r="H43" s="85">
        <v>1.7687074829932037E-2</v>
      </c>
      <c r="I43" s="85">
        <v>-0.14674493062966909</v>
      </c>
      <c r="J43" s="85">
        <v>-4.8206646923329988E-2</v>
      </c>
      <c r="K43" s="85">
        <v>-1.6024548244118586E-2</v>
      </c>
      <c r="L43" s="85">
        <v>-6.323893318669116E-3</v>
      </c>
      <c r="M43" s="85">
        <v>5.5957099557006895E-3</v>
      </c>
      <c r="N43" s="86">
        <f t="shared" si="1"/>
        <v>-2.6627838217746901E-2</v>
      </c>
    </row>
    <row r="44" spans="1:14" x14ac:dyDescent="0.2">
      <c r="A44" s="84">
        <v>38726</v>
      </c>
      <c r="B44" s="85">
        <v>-1.7709335899903755E-2</v>
      </c>
      <c r="C44" s="85">
        <v>4.6502057613168724E-2</v>
      </c>
      <c r="D44" s="85">
        <v>-5.3213262382316717E-3</v>
      </c>
      <c r="E44" s="85">
        <v>1.0103626943005262E-2</v>
      </c>
      <c r="F44" s="85">
        <v>4.3227665706051521E-3</v>
      </c>
      <c r="G44" s="85">
        <v>4.9145860709592704E-2</v>
      </c>
      <c r="H44" s="85">
        <v>2.6236631016042677E-2</v>
      </c>
      <c r="I44" s="85">
        <v>3.5647279549718469E-2</v>
      </c>
      <c r="J44" s="85">
        <v>2.6447709593776958E-2</v>
      </c>
      <c r="K44" s="85">
        <v>-3.4650034650030026E-4</v>
      </c>
      <c r="L44" s="85">
        <v>-5.3956834532374209E-2</v>
      </c>
      <c r="M44" s="85">
        <v>6.0282865754694992E-3</v>
      </c>
      <c r="N44" s="86">
        <f t="shared" si="1"/>
        <v>1.0591685129530792E-2</v>
      </c>
    </row>
    <row r="45" spans="1:14" x14ac:dyDescent="0.2">
      <c r="A45" s="84">
        <v>38720</v>
      </c>
      <c r="B45" s="85">
        <v>1.7244757985498627E-2</v>
      </c>
      <c r="C45" s="85">
        <v>-5.269366889500593E-2</v>
      </c>
      <c r="D45" s="85">
        <v>1.0699588477366184E-2</v>
      </c>
      <c r="E45" s="85">
        <v>2.590407796870986E-2</v>
      </c>
      <c r="F45" s="85">
        <v>-3.5868005738880937E-2</v>
      </c>
      <c r="G45" s="85">
        <v>2.5050100200401104E-3</v>
      </c>
      <c r="H45" s="85">
        <v>-1.937795147370136E-2</v>
      </c>
      <c r="I45" s="85">
        <v>-1.6304347826086918E-2</v>
      </c>
      <c r="J45" s="85">
        <v>-1.3640956551027372E-2</v>
      </c>
      <c r="K45" s="85">
        <v>1.6984402079722738E-2</v>
      </c>
      <c r="L45" s="85">
        <v>2.281368821292773E-2</v>
      </c>
      <c r="M45" s="85">
        <v>-4.609356994700331E-4</v>
      </c>
      <c r="N45" s="86">
        <f t="shared" si="1"/>
        <v>-3.516195119992275E-3</v>
      </c>
    </row>
    <row r="46" spans="1:14" x14ac:dyDescent="0.2">
      <c r="A46" s="84">
        <v>38713</v>
      </c>
      <c r="B46" s="85">
        <v>-1.2906954344056865E-2</v>
      </c>
      <c r="C46" s="85">
        <v>-4.6077210460772067E-2</v>
      </c>
      <c r="D46" s="85">
        <v>-6.1074918566775271E-2</v>
      </c>
      <c r="E46" s="85">
        <v>-3.7499999999999999E-2</v>
      </c>
      <c r="F46" s="85">
        <v>-5.3075396825396859E-2</v>
      </c>
      <c r="G46" s="85">
        <v>-8.2458770614693977E-3</v>
      </c>
      <c r="H46" s="85">
        <v>-9.4652939222850119E-3</v>
      </c>
      <c r="I46" s="85">
        <v>2.7010435850215009E-2</v>
      </c>
      <c r="J46" s="85">
        <v>-3.1244664504012309E-2</v>
      </c>
      <c r="K46" s="85">
        <v>3.4083162917519783E-3</v>
      </c>
      <c r="L46" s="85">
        <v>-3.6030883614526665E-2</v>
      </c>
      <c r="M46" s="85">
        <v>2.0521097532856913E-2</v>
      </c>
      <c r="N46" s="86">
        <f t="shared" si="1"/>
        <v>-2.0390112468705878E-2</v>
      </c>
    </row>
    <row r="47" spans="1:14" x14ac:dyDescent="0.2">
      <c r="A47" s="84">
        <v>38705</v>
      </c>
      <c r="B47" s="85">
        <v>9.7580015612801496E-3</v>
      </c>
      <c r="C47" s="85">
        <v>-4.1775456919060039E-2</v>
      </c>
      <c r="D47" s="85">
        <v>-9.5403295750216E-3</v>
      </c>
      <c r="E47" s="85">
        <v>4.6233766233766183E-2</v>
      </c>
      <c r="F47" s="85">
        <v>9.4290204295441882E-3</v>
      </c>
      <c r="G47" s="85">
        <v>1.2849584278155746E-2</v>
      </c>
      <c r="H47" s="85">
        <v>3.0176026823134361E-3</v>
      </c>
      <c r="I47" s="85">
        <v>2.9886431560071758E-2</v>
      </c>
      <c r="J47" s="85">
        <v>2.9432499118787314E-2</v>
      </c>
      <c r="K47" s="85">
        <v>-6.7934782608691791E-4</v>
      </c>
      <c r="L47" s="85">
        <v>3.7674280628893442E-2</v>
      </c>
      <c r="M47" s="85">
        <v>1.7171260732038007E-2</v>
      </c>
      <c r="N47" s="86">
        <f t="shared" si="1"/>
        <v>1.1954776075390139E-2</v>
      </c>
    </row>
    <row r="48" spans="1:14" x14ac:dyDescent="0.2">
      <c r="A48" s="84">
        <v>38698</v>
      </c>
      <c r="B48" s="85">
        <v>1.0243525318902158E-2</v>
      </c>
      <c r="C48" s="85">
        <v>-3.9055404178020003E-2</v>
      </c>
      <c r="D48" s="85">
        <v>1.3134851138353776E-2</v>
      </c>
      <c r="E48" s="85">
        <v>-3.2274081429990442E-3</v>
      </c>
      <c r="F48" s="85">
        <v>-7.7841203943953552E-3</v>
      </c>
      <c r="G48" s="85">
        <v>-1.0199004975124493E-2</v>
      </c>
      <c r="H48" s="85">
        <v>-1.1866956376399784E-2</v>
      </c>
      <c r="I48" s="85">
        <v>-3.7144515380150955E-2</v>
      </c>
      <c r="J48" s="85">
        <v>-2.6194144838212585E-2</v>
      </c>
      <c r="K48" s="85">
        <v>3.0931339225016785E-2</v>
      </c>
      <c r="L48" s="85">
        <v>8.0045740423100309E-3</v>
      </c>
      <c r="M48" s="85">
        <v>2.8209684584628913E-2</v>
      </c>
      <c r="N48" s="86">
        <f t="shared" si="1"/>
        <v>-3.7456316646742129E-3</v>
      </c>
    </row>
    <row r="49" spans="1:14" x14ac:dyDescent="0.2">
      <c r="A49" s="84">
        <v>38691</v>
      </c>
      <c r="B49" s="85">
        <v>-1.4539889037688991E-2</v>
      </c>
      <c r="C49" s="85">
        <v>-2.835538752362865E-3</v>
      </c>
      <c r="D49" s="85">
        <v>1.2100259291270676E-2</v>
      </c>
      <c r="E49" s="85">
        <v>-5.9775840597758867E-3</v>
      </c>
      <c r="F49" s="85">
        <v>3.6610878661087476E-3</v>
      </c>
      <c r="G49" s="85">
        <v>-1.6838401608444409E-2</v>
      </c>
      <c r="H49" s="85">
        <v>-1.4884979702300294E-2</v>
      </c>
      <c r="I49" s="85">
        <v>2.471368294153109E-2</v>
      </c>
      <c r="J49" s="85">
        <v>-1.6174402250351605E-2</v>
      </c>
      <c r="K49" s="85">
        <v>1.1374876360039643E-2</v>
      </c>
      <c r="L49" s="85">
        <v>1.0777084515031232E-2</v>
      </c>
      <c r="M49" s="85">
        <v>1.5122056599696787E-3</v>
      </c>
      <c r="N49" s="86">
        <f t="shared" si="1"/>
        <v>-5.9263323141441526E-4</v>
      </c>
    </row>
    <row r="50" spans="1:14" x14ac:dyDescent="0.2">
      <c r="A50" s="84">
        <v>38684</v>
      </c>
      <c r="B50" s="85">
        <v>2.6985051446321018E-2</v>
      </c>
      <c r="C50" s="85">
        <v>-4.7393364928910442E-3</v>
      </c>
      <c r="D50" s="85">
        <v>8.9239965841161339E-2</v>
      </c>
      <c r="E50" s="85">
        <v>2.6810323227261401E-2</v>
      </c>
      <c r="F50" s="85">
        <v>-5.2110474205324664E-4</v>
      </c>
      <c r="G50" s="85">
        <v>-3.323108384457929E-3</v>
      </c>
      <c r="H50" s="85">
        <v>2.2664835164835084E-2</v>
      </c>
      <c r="I50" s="85">
        <v>-0.05</v>
      </c>
      <c r="J50" s="85">
        <v>2.3588277340957919E-2</v>
      </c>
      <c r="K50" s="85">
        <v>2.4449877750611915E-3</v>
      </c>
      <c r="L50" s="85">
        <v>-4.2368125701458981E-2</v>
      </c>
      <c r="M50" s="85">
        <v>-4.098360655737654E-3</v>
      </c>
      <c r="N50" s="86">
        <f t="shared" si="1"/>
        <v>7.2236170682499256E-3</v>
      </c>
    </row>
    <row r="51" spans="1:14" x14ac:dyDescent="0.2">
      <c r="A51" s="84">
        <v>38677</v>
      </c>
      <c r="B51" s="85">
        <v>3.780718336483524E-4</v>
      </c>
      <c r="C51" s="85">
        <v>0.14809523809523806</v>
      </c>
      <c r="D51" s="85">
        <v>-1.9600156801254931E-3</v>
      </c>
      <c r="E51" s="85">
        <v>1.0980966325036645E-2</v>
      </c>
      <c r="F51" s="85">
        <v>-1.2513034410844504E-2</v>
      </c>
      <c r="G51" s="85">
        <v>-3.3341882533983735E-3</v>
      </c>
      <c r="H51" s="85">
        <v>-7.8912021490933348E-3</v>
      </c>
      <c r="I51" s="85">
        <v>-5.944272445820431E-2</v>
      </c>
      <c r="J51" s="85">
        <v>8.5544692737431482E-3</v>
      </c>
      <c r="K51" s="85">
        <v>5.6910569105690367E-3</v>
      </c>
      <c r="L51" s="85">
        <v>-5.2739525344271954E-3</v>
      </c>
      <c r="M51" s="85">
        <v>3.747021875676837E-2</v>
      </c>
      <c r="N51" s="86">
        <f t="shared" si="1"/>
        <v>1.0062908642409199E-2</v>
      </c>
    </row>
    <row r="52" spans="1:14" x14ac:dyDescent="0.2">
      <c r="A52" s="84">
        <v>38670</v>
      </c>
      <c r="B52" s="85">
        <v>-2.399848828420259E-2</v>
      </c>
      <c r="C52" s="85">
        <v>-1.8664454583160461E-2</v>
      </c>
      <c r="D52" s="85">
        <v>-1.6103692065985831E-2</v>
      </c>
      <c r="E52" s="85">
        <v>-7.4825006034274777E-3</v>
      </c>
      <c r="F52" s="85">
        <v>8.4477296726503948E-3</v>
      </c>
      <c r="G52" s="85">
        <v>-2.1358723623262965E-2</v>
      </c>
      <c r="H52" s="85">
        <v>1.2692502961584085E-2</v>
      </c>
      <c r="I52" s="85">
        <v>7.8341013824884786E-2</v>
      </c>
      <c r="J52" s="85">
        <v>-3.9293751081876493E-2</v>
      </c>
      <c r="K52" s="85">
        <v>-5.8205335489086574E-3</v>
      </c>
      <c r="L52" s="85">
        <v>-3.122238586156123E-2</v>
      </c>
      <c r="M52" s="85">
        <v>-1.4822546972860118E-2</v>
      </c>
      <c r="N52" s="86">
        <f t="shared" si="1"/>
        <v>-6.6071525138438796E-3</v>
      </c>
    </row>
    <row r="53" spans="1:14" x14ac:dyDescent="0.2">
      <c r="A53" s="84">
        <v>38663</v>
      </c>
      <c r="B53" s="85">
        <v>-7.7444336882859233E-4</v>
      </c>
      <c r="C53" s="85">
        <v>7.6500422654268707E-2</v>
      </c>
      <c r="D53" s="85">
        <v>-1.6367265469061865E-2</v>
      </c>
      <c r="E53" s="85">
        <v>-6.809338521400643E-3</v>
      </c>
      <c r="F53" s="85">
        <v>-7.3298429319371694E-3</v>
      </c>
      <c r="G53" s="85">
        <v>6.0478569550355132E-3</v>
      </c>
      <c r="H53" s="85">
        <v>-1.3201871657754105E-2</v>
      </c>
      <c r="I53" s="85">
        <v>-1.8315018315018361E-2</v>
      </c>
      <c r="J53" s="85">
        <v>-3.9639639639639235E-3</v>
      </c>
      <c r="K53" s="85">
        <v>-2.4556838510326973E-2</v>
      </c>
      <c r="L53" s="85">
        <v>-2.5235633931286028E-2</v>
      </c>
      <c r="M53" s="85">
        <v>-2.5429116338206992E-3</v>
      </c>
      <c r="N53" s="86">
        <f t="shared" si="1"/>
        <v>-3.0457373911745114E-3</v>
      </c>
    </row>
    <row r="54" spans="1:14" x14ac:dyDescent="0.2">
      <c r="A54" s="84">
        <v>38656</v>
      </c>
      <c r="B54" s="85">
        <v>-1.937608990505435E-4</v>
      </c>
      <c r="C54" s="85">
        <v>-5.8892815076559968E-3</v>
      </c>
      <c r="D54" s="85">
        <v>-4.1801948051948146E-2</v>
      </c>
      <c r="E54" s="85">
        <v>-6.8560235063663821E-3</v>
      </c>
      <c r="F54" s="85">
        <v>-2.5843881856540185E-2</v>
      </c>
      <c r="G54" s="85">
        <v>-2.4830109775222042E-2</v>
      </c>
      <c r="H54" s="85">
        <v>-4.165961049957656E-2</v>
      </c>
      <c r="I54" s="85">
        <v>-4.2288557213930211E-2</v>
      </c>
      <c r="J54" s="85">
        <v>-5.1917510853835114E-2</v>
      </c>
      <c r="K54" s="85">
        <v>-2.6008669556518815E-2</v>
      </c>
      <c r="L54" s="85">
        <v>7.2052401746724781E-2</v>
      </c>
      <c r="M54" s="85">
        <v>-2.082005523688113E-2</v>
      </c>
      <c r="N54" s="86">
        <f t="shared" si="1"/>
        <v>-1.8004750600900028E-2</v>
      </c>
    </row>
    <row r="55" spans="1:14" x14ac:dyDescent="0.2">
      <c r="A55" s="84">
        <v>38649</v>
      </c>
      <c r="B55" s="85">
        <v>9.1085271317830063E-3</v>
      </c>
      <c r="C55" s="85">
        <v>-0.11571879936808849</v>
      </c>
      <c r="D55" s="85">
        <v>-2.2448115205421448E-2</v>
      </c>
      <c r="E55" s="85">
        <v>-9.3688362919133183E-3</v>
      </c>
      <c r="F55" s="85">
        <v>-3.7899296155928464E-2</v>
      </c>
      <c r="G55" s="85">
        <v>-2.3318145269364932E-2</v>
      </c>
      <c r="H55" s="85">
        <v>1.3076515285386003E-2</v>
      </c>
      <c r="I55" s="85">
        <v>0.19805194805194803</v>
      </c>
      <c r="J55" s="85">
        <v>2.9002098836099943E-2</v>
      </c>
      <c r="K55" s="85">
        <v>-9.7569325573433341E-3</v>
      </c>
      <c r="L55" s="85">
        <v>-7.2446901367471561E-2</v>
      </c>
      <c r="M55" s="85">
        <v>-3.0158385766977713E-2</v>
      </c>
      <c r="N55" s="86">
        <f t="shared" si="1"/>
        <v>-5.9896935564410225E-3</v>
      </c>
    </row>
    <row r="56" spans="1:14" x14ac:dyDescent="0.2">
      <c r="A56" s="84">
        <v>38642</v>
      </c>
      <c r="B56" s="85">
        <v>-3.5337046283848705E-2</v>
      </c>
      <c r="C56" s="85">
        <v>3.5283608753907902E-2</v>
      </c>
      <c r="D56" s="85">
        <v>-2.0363951473136854E-2</v>
      </c>
      <c r="E56" s="85">
        <v>-9.457441513190723E-3</v>
      </c>
      <c r="F56" s="85">
        <v>2.58863252673045E-2</v>
      </c>
      <c r="G56" s="85">
        <v>-3.5949506037321499E-2</v>
      </c>
      <c r="H56" s="85">
        <v>-8.8958660387231658E-3</v>
      </c>
      <c r="I56" s="85">
        <v>1.4092140921409202E-2</v>
      </c>
      <c r="J56" s="85">
        <v>-3.3932875950305919E-2</v>
      </c>
      <c r="K56" s="85">
        <v>-5.7562662057044078E-2</v>
      </c>
      <c r="L56" s="85">
        <v>1.7879548306148241E-2</v>
      </c>
      <c r="M56" s="85">
        <v>7.1588366890380506E-3</v>
      </c>
      <c r="N56" s="86">
        <f t="shared" si="1"/>
        <v>-8.4332407846469202E-3</v>
      </c>
    </row>
    <row r="57" spans="1:14" x14ac:dyDescent="0.2">
      <c r="A57" s="84">
        <v>38635</v>
      </c>
      <c r="B57" s="85">
        <v>3.981684252438944E-3</v>
      </c>
      <c r="C57" s="85">
        <v>-8.6281276962896225E-4</v>
      </c>
      <c r="D57" s="85">
        <v>2.9190623617868283E-2</v>
      </c>
      <c r="E57" s="85">
        <v>-1.2311557788944549E-2</v>
      </c>
      <c r="F57" s="85">
        <v>-6.0340098738342896E-3</v>
      </c>
      <c r="G57" s="85">
        <v>-2.9888983774551736E-2</v>
      </c>
      <c r="H57" s="85">
        <v>7.3917634635691787E-3</v>
      </c>
      <c r="I57" s="85">
        <v>-3.2068412613577291E-3</v>
      </c>
      <c r="J57" s="85">
        <v>1.9193857965451588E-3</v>
      </c>
      <c r="K57" s="85">
        <v>9.7212032281730476E-3</v>
      </c>
      <c r="L57" s="85">
        <v>-1.941448382126354E-2</v>
      </c>
      <c r="M57" s="85">
        <v>-2.2656597067969853E-2</v>
      </c>
      <c r="N57" s="86">
        <f t="shared" si="1"/>
        <v>-3.5142188332463373E-3</v>
      </c>
    </row>
    <row r="58" spans="1:14" x14ac:dyDescent="0.2">
      <c r="A58" s="84">
        <v>38628</v>
      </c>
      <c r="B58" s="85">
        <v>3.2916914534999009E-2</v>
      </c>
      <c r="C58" s="85">
        <v>5.9153713298791155E-2</v>
      </c>
      <c r="D58" s="85">
        <v>1.8478727975934639E-2</v>
      </c>
      <c r="E58" s="85">
        <v>1.755278555075046E-2</v>
      </c>
      <c r="F58" s="85">
        <v>1.3245033112582627E-2</v>
      </c>
      <c r="G58" s="85">
        <v>-5.2816901408450079E-3</v>
      </c>
      <c r="H58" s="85">
        <v>1.8343815513626849E-2</v>
      </c>
      <c r="I58" s="85">
        <v>1.8766756032171594E-2</v>
      </c>
      <c r="J58" s="85">
        <v>2.3946360153256796E-2</v>
      </c>
      <c r="K58" s="85">
        <v>3.9963669391462897E-3</v>
      </c>
      <c r="L58" s="85">
        <v>1.7913262099308547E-2</v>
      </c>
      <c r="M58" s="85">
        <v>0</v>
      </c>
      <c r="N58" s="86">
        <f t="shared" si="1"/>
        <v>1.8252670422476913E-2</v>
      </c>
    </row>
    <row r="59" spans="1:14" x14ac:dyDescent="0.2">
      <c r="A59" s="84">
        <v>38621</v>
      </c>
      <c r="B59" s="85">
        <v>2.6876559800345534E-2</v>
      </c>
      <c r="C59" s="85">
        <v>-4.076640847941293E-2</v>
      </c>
      <c r="D59" s="85">
        <v>7.1729957805908295E-3</v>
      </c>
      <c r="E59" s="85">
        <v>1.2499999999999734E-3</v>
      </c>
      <c r="F59" s="85">
        <v>5.6644880174291812E-2</v>
      </c>
      <c r="G59" s="85">
        <v>8.8495575221236855E-4</v>
      </c>
      <c r="H59" s="85">
        <v>2.1272945616743977E-2</v>
      </c>
      <c r="I59" s="85">
        <v>5.2631578947368585E-3</v>
      </c>
      <c r="J59" s="85">
        <v>9.1674462114124111E-3</v>
      </c>
      <c r="K59" s="85">
        <v>3.4014836258367875E-2</v>
      </c>
      <c r="L59" s="85">
        <v>1.0605125038592158</v>
      </c>
      <c r="M59" s="85">
        <v>-1.2500000000000001E-2</v>
      </c>
      <c r="N59" s="86">
        <f t="shared" si="1"/>
        <v>9.748282273904206E-2</v>
      </c>
    </row>
    <row r="60" spans="1:14" x14ac:dyDescent="0.2">
      <c r="A60" s="84">
        <v>38614</v>
      </c>
      <c r="B60" s="85">
        <v>-1.1217049915872135E-2</v>
      </c>
      <c r="C60" s="85">
        <v>-4.6748831279218028E-2</v>
      </c>
      <c r="D60" s="85">
        <v>-5.5299539170506895E-2</v>
      </c>
      <c r="E60" s="85">
        <v>-1.9975031210986205E-2</v>
      </c>
      <c r="F60" s="85">
        <v>-2.4742268041236914E-2</v>
      </c>
      <c r="G60" s="85">
        <v>4.1261420571765406E-3</v>
      </c>
      <c r="H60" s="85">
        <v>2.0493868637661672E-2</v>
      </c>
      <c r="I60" s="85">
        <v>-2.0942408376964927E-3</v>
      </c>
      <c r="J60" s="85">
        <v>-3.707823507601038E-2</v>
      </c>
      <c r="K60" s="85">
        <v>-2.1522309711285992E-2</v>
      </c>
      <c r="L60" s="85">
        <v>-4.8846269103985596E-2</v>
      </c>
      <c r="M60" s="85">
        <v>-2.1634062140391319E-2</v>
      </c>
      <c r="N60" s="86">
        <f t="shared" si="1"/>
        <v>-2.2044818816029311E-2</v>
      </c>
    </row>
    <row r="61" spans="1:14" x14ac:dyDescent="0.2">
      <c r="A61" s="84">
        <v>38607</v>
      </c>
      <c r="B61" s="85">
        <v>6.4284363773870368E-2</v>
      </c>
      <c r="C61" s="85">
        <v>0.1631743201069995</v>
      </c>
      <c r="D61" s="85">
        <v>3.8580931263858087E-2</v>
      </c>
      <c r="E61" s="85">
        <v>3.3121019108280247E-2</v>
      </c>
      <c r="F61" s="85">
        <v>3.2241014799154311E-2</v>
      </c>
      <c r="G61" s="85">
        <v>2.7003228646903521E-2</v>
      </c>
      <c r="H61" s="85">
        <v>3.0123456790123404E-2</v>
      </c>
      <c r="I61" s="85">
        <v>2.360965372507895E-2</v>
      </c>
      <c r="J61" s="85">
        <v>1.1551790527533079E-3</v>
      </c>
      <c r="K61" s="85">
        <v>2.1816881258941434E-2</v>
      </c>
      <c r="L61" s="85">
        <v>-5.1984877126654006E-3</v>
      </c>
      <c r="M61" s="85">
        <v>6.2573512114796559E-2</v>
      </c>
      <c r="N61" s="86">
        <f t="shared" si="1"/>
        <v>4.1040422744007855E-2</v>
      </c>
    </row>
    <row r="62" spans="1:14" x14ac:dyDescent="0.2">
      <c r="A62" s="84">
        <v>38601</v>
      </c>
      <c r="B62" s="85">
        <v>-1.8475750577367167E-2</v>
      </c>
      <c r="C62" s="85">
        <v>1.1498658489842883E-2</v>
      </c>
      <c r="D62" s="85">
        <v>3.67207514944492E-2</v>
      </c>
      <c r="E62" s="85">
        <v>-2.6387176325524009E-2</v>
      </c>
      <c r="F62" s="85">
        <v>7.1684587813620748E-3</v>
      </c>
      <c r="G62" s="85">
        <v>-4.85853100885969E-3</v>
      </c>
      <c r="H62" s="85">
        <v>-1.4381591562799612E-2</v>
      </c>
      <c r="I62" s="85">
        <v>-1.1276268580215354E-2</v>
      </c>
      <c r="J62" s="85">
        <v>0.01</v>
      </c>
      <c r="K62" s="85">
        <v>2.415120756037803E-2</v>
      </c>
      <c r="L62" s="85">
        <v>-2.7236737925574017E-2</v>
      </c>
      <c r="M62" s="85">
        <v>-5.7560327651097198E-3</v>
      </c>
      <c r="N62" s="86">
        <f t="shared" si="1"/>
        <v>-1.569417701618115E-3</v>
      </c>
    </row>
    <row r="63" spans="1:14" x14ac:dyDescent="0.2">
      <c r="A63" s="84">
        <v>38593</v>
      </c>
      <c r="B63" s="85">
        <v>1.1040723981900369E-2</v>
      </c>
      <c r="C63" s="85">
        <v>-3.5619552860932213E-2</v>
      </c>
      <c r="D63" s="85">
        <v>-1.6474464579901205E-2</v>
      </c>
      <c r="E63" s="85">
        <v>-2.5329280648429542E-2</v>
      </c>
      <c r="F63" s="85">
        <v>-1.7793594306049876E-2</v>
      </c>
      <c r="G63" s="85">
        <v>-2.0390580126364188E-2</v>
      </c>
      <c r="H63" s="85">
        <v>4.7016861219195683E-3</v>
      </c>
      <c r="I63" s="85">
        <v>-4.6137895282529873E-2</v>
      </c>
      <c r="J63" s="85">
        <v>-3.2178217821782318E-2</v>
      </c>
      <c r="K63" s="85">
        <v>-1.2303485987696594E-2</v>
      </c>
      <c r="L63" s="85">
        <v>-2.751098811655539E-2</v>
      </c>
      <c r="M63" s="85">
        <v>4.8986862614117666E-3</v>
      </c>
      <c r="N63" s="86">
        <f t="shared" si="1"/>
        <v>-1.7758080280417459E-2</v>
      </c>
    </row>
    <row r="64" spans="1:14" x14ac:dyDescent="0.2">
      <c r="A64" s="84">
        <v>38586</v>
      </c>
      <c r="B64" s="85">
        <v>-3.0433225921947749E-2</v>
      </c>
      <c r="C64" s="85">
        <v>7.9764243614931285E-2</v>
      </c>
      <c r="D64" s="85">
        <v>-5.36013400335007E-2</v>
      </c>
      <c r="E64" s="85">
        <v>-3.3264033264033155E-2</v>
      </c>
      <c r="F64" s="85">
        <v>-1.9151138716356209E-2</v>
      </c>
      <c r="G64" s="85">
        <v>-1.3485781295807686E-2</v>
      </c>
      <c r="H64" s="85">
        <v>-6.4547361626587918E-4</v>
      </c>
      <c r="I64" s="85">
        <v>1.0869565217391353E-2</v>
      </c>
      <c r="J64" s="85">
        <v>1.4361597481802102E-2</v>
      </c>
      <c r="K64" s="85">
        <v>-1.4013840830449764E-2</v>
      </c>
      <c r="L64" s="85">
        <v>4.3521928356209383E-3</v>
      </c>
      <c r="M64" s="85">
        <v>2.2379791712829666E-2</v>
      </c>
      <c r="N64" s="86">
        <f t="shared" si="1"/>
        <v>-2.7389535679821497E-3</v>
      </c>
    </row>
    <row r="65" spans="1:14" x14ac:dyDescent="0.2">
      <c r="A65" s="84">
        <v>38579</v>
      </c>
      <c r="B65" s="85">
        <v>3.3234859675037587E-3</v>
      </c>
      <c r="C65" s="85">
        <v>4.9126637554585129E-2</v>
      </c>
      <c r="D65" s="85">
        <v>-7.0796460176991705E-3</v>
      </c>
      <c r="E65" s="85">
        <v>7.2580645161288704E-3</v>
      </c>
      <c r="F65" s="85">
        <v>-1.0026385224274237E-2</v>
      </c>
      <c r="G65" s="85">
        <v>2.6448736998514244E-2</v>
      </c>
      <c r="H65" s="85">
        <v>2.018407879864359E-2</v>
      </c>
      <c r="I65" s="85">
        <v>-7.5268817204301453E-3</v>
      </c>
      <c r="J65" s="85">
        <v>9.3095422808378014E-3</v>
      </c>
      <c r="K65" s="85">
        <v>1.7195999298122322E-2</v>
      </c>
      <c r="L65" s="85">
        <v>1.1833333333333362E-2</v>
      </c>
      <c r="M65" s="85">
        <v>1.6688339835283728E-2</v>
      </c>
      <c r="N65" s="86">
        <f t="shared" si="1"/>
        <v>1.1394608801712438E-2</v>
      </c>
    </row>
    <row r="66" spans="1:14" x14ac:dyDescent="0.2">
      <c r="A66" s="84">
        <v>38572</v>
      </c>
      <c r="B66" s="85">
        <v>7.5450864924548888E-3</v>
      </c>
      <c r="C66" s="85">
        <v>6.7291016302462703E-2</v>
      </c>
      <c r="D66" s="85">
        <v>5.7486631016042677E-2</v>
      </c>
      <c r="E66" s="85">
        <v>6.6720042700827431E-3</v>
      </c>
      <c r="F66" s="85">
        <v>1.9722814498933872E-2</v>
      </c>
      <c r="G66" s="85">
        <v>-6.6589461493918867E-3</v>
      </c>
      <c r="H66" s="85">
        <v>-1.1079455523900217E-3</v>
      </c>
      <c r="I66" s="85">
        <v>-1.4626218851570894E-2</v>
      </c>
      <c r="J66" s="85">
        <v>1.5564950038432057E-2</v>
      </c>
      <c r="K66" s="85">
        <v>1.8802829049508363E-2</v>
      </c>
      <c r="L66" s="85">
        <v>1.103607313457422E-2</v>
      </c>
      <c r="M66" s="85">
        <v>2.1956938819015059E-2</v>
      </c>
      <c r="N66" s="86">
        <f t="shared" ref="N66:N97" si="2">AVERAGE(B66:M66)</f>
        <v>1.6973769422346147E-2</v>
      </c>
    </row>
    <row r="67" spans="1:14" x14ac:dyDescent="0.2">
      <c r="A67" s="84">
        <v>38565</v>
      </c>
      <c r="B67" s="85">
        <v>2.5570776255707806E-3</v>
      </c>
      <c r="C67" s="85">
        <v>-2.4049398765030872E-2</v>
      </c>
      <c r="D67" s="85">
        <v>1.7699115044247815E-2</v>
      </c>
      <c r="E67" s="85">
        <v>2.8632025450689325E-2</v>
      </c>
      <c r="F67" s="85">
        <v>-3.1887088342916869E-2</v>
      </c>
      <c r="G67" s="85">
        <v>2.739726027397249E-2</v>
      </c>
      <c r="H67" s="85">
        <v>-1.3310093487561292E-2</v>
      </c>
      <c r="I67" s="85">
        <v>-7.6965365585487389E-3</v>
      </c>
      <c r="J67" s="85">
        <v>-3.7842951750236553E-3</v>
      </c>
      <c r="K67" s="85">
        <v>6.9420927869963123E-3</v>
      </c>
      <c r="L67" s="85">
        <v>-4.7898338220918935E-2</v>
      </c>
      <c r="M67" s="85">
        <v>-1.3558614935335833E-2</v>
      </c>
      <c r="N67" s="86">
        <f t="shared" si="2"/>
        <v>-4.9130661919882896E-3</v>
      </c>
    </row>
    <row r="68" spans="1:14" x14ac:dyDescent="0.2">
      <c r="A68" s="84">
        <v>38558</v>
      </c>
      <c r="B68" s="85">
        <v>1.3299325924576388E-2</v>
      </c>
      <c r="C68" s="85">
        <v>9.7236097236097274E-2</v>
      </c>
      <c r="D68" s="85">
        <v>1.2836438923395477E-2</v>
      </c>
      <c r="E68" s="85">
        <v>6.3917525773196093E-2</v>
      </c>
      <c r="F68" s="85">
        <v>3.9956803455723611E-2</v>
      </c>
      <c r="G68" s="85">
        <v>-3.1205673758865071E-3</v>
      </c>
      <c r="H68" s="85">
        <v>2.3928055243295221E-2</v>
      </c>
      <c r="I68" s="85">
        <v>0.20941828254847628</v>
      </c>
      <c r="J68" s="85">
        <v>7.5973409306742123E-3</v>
      </c>
      <c r="K68" s="85">
        <v>-2.2700521271229235E-2</v>
      </c>
      <c r="L68" s="85">
        <v>-9.3086926762491418E-2</v>
      </c>
      <c r="M68" s="85">
        <v>1.2053288221611336E-2</v>
      </c>
      <c r="N68" s="86">
        <f t="shared" si="2"/>
        <v>3.0111261903953229E-2</v>
      </c>
    </row>
    <row r="69" spans="1:14" x14ac:dyDescent="0.2">
      <c r="A69" s="84">
        <v>38551</v>
      </c>
      <c r="B69" s="85">
        <v>-9.1693635382955607E-3</v>
      </c>
      <c r="C69" s="85">
        <v>7.587253414264028E-3</v>
      </c>
      <c r="D69" s="85">
        <v>1.9623875715453876E-2</v>
      </c>
      <c r="E69" s="85">
        <v>-2.107558139534893E-2</v>
      </c>
      <c r="F69" s="85">
        <v>1.4018691588784993E-2</v>
      </c>
      <c r="G69" s="85">
        <v>1.3090495162208393E-2</v>
      </c>
      <c r="H69" s="85">
        <v>9.7239648682558855E-3</v>
      </c>
      <c r="I69" s="85">
        <v>-1.9697663765460338E-2</v>
      </c>
      <c r="J69" s="85">
        <v>1.7907634307257281E-2</v>
      </c>
      <c r="K69" s="85">
        <v>-1.3420509291121707E-2</v>
      </c>
      <c r="L69" s="85">
        <v>-1.8867924528301883E-3</v>
      </c>
      <c r="M69" s="85">
        <v>-2.4655244463017145E-2</v>
      </c>
      <c r="N69" s="86">
        <f t="shared" si="2"/>
        <v>-6.6276998748745119E-4</v>
      </c>
    </row>
    <row r="70" spans="1:14" x14ac:dyDescent="0.2">
      <c r="A70" s="84">
        <v>38544</v>
      </c>
      <c r="B70" s="85">
        <v>4.354926510615087E-3</v>
      </c>
      <c r="C70" s="85">
        <v>-1.626506024096408E-2</v>
      </c>
      <c r="D70" s="85">
        <v>-4.4105854049720783E-3</v>
      </c>
      <c r="E70" s="85">
        <v>3.4644889878743257E-3</v>
      </c>
      <c r="F70" s="85">
        <v>0</v>
      </c>
      <c r="G70" s="85">
        <v>7.3033707865168829E-3</v>
      </c>
      <c r="H70" s="85">
        <v>-3.4172103137620313E-2</v>
      </c>
      <c r="I70" s="85">
        <v>2.5700934579439227E-2</v>
      </c>
      <c r="J70" s="85">
        <v>-6.6666666666667096E-3</v>
      </c>
      <c r="K70" s="85">
        <v>-4.7610742936867845E-2</v>
      </c>
      <c r="L70" s="85">
        <v>1.6068052930056753E-2</v>
      </c>
      <c r="M70" s="85">
        <v>8.9974293059127408E-3</v>
      </c>
      <c r="N70" s="86">
        <f t="shared" si="2"/>
        <v>-3.6029962738896673E-3</v>
      </c>
    </row>
    <row r="71" spans="1:14" x14ac:dyDescent="0.2">
      <c r="A71" s="84">
        <v>38538</v>
      </c>
      <c r="B71" s="85">
        <v>4.3360433604335835E-3</v>
      </c>
      <c r="C71" s="85">
        <v>-2.327005511328839E-2</v>
      </c>
      <c r="D71" s="85">
        <v>-2.4164317358034149E-3</v>
      </c>
      <c r="E71" s="85">
        <v>4.9321824907522238E-3</v>
      </c>
      <c r="F71" s="85">
        <v>-3.737839221710193E-2</v>
      </c>
      <c r="G71" s="85">
        <v>-2.9280535415504683E-2</v>
      </c>
      <c r="H71" s="85">
        <v>-1.4313284014152439E-2</v>
      </c>
      <c r="I71" s="85">
        <v>6.5603644646924808E-2</v>
      </c>
      <c r="J71" s="85">
        <v>-9.6942580164057768E-3</v>
      </c>
      <c r="K71" s="85">
        <v>-7.2147958249404787E-2</v>
      </c>
      <c r="L71" s="85">
        <v>2.8837209302325473E-2</v>
      </c>
      <c r="M71" s="85">
        <v>-4.4585987261146487E-3</v>
      </c>
      <c r="N71" s="86">
        <f t="shared" si="2"/>
        <v>-7.4375361406116653E-3</v>
      </c>
    </row>
    <row r="72" spans="1:14" x14ac:dyDescent="0.2">
      <c r="A72" s="84">
        <v>38530</v>
      </c>
      <c r="B72" s="85">
        <v>5.3966540744720959E-4</v>
      </c>
      <c r="C72" s="85">
        <v>-2.5078369905956022E-2</v>
      </c>
      <c r="D72" s="85">
        <v>-2.9874848607186033E-2</v>
      </c>
      <c r="E72" s="85">
        <v>-1.4723926380368124E-2</v>
      </c>
      <c r="F72" s="85">
        <v>-2.2872340425531879E-2</v>
      </c>
      <c r="G72" s="85">
        <v>7.1818442976157026E-3</v>
      </c>
      <c r="H72" s="85">
        <v>3.0021210637950713E-2</v>
      </c>
      <c r="I72" s="85">
        <v>-2.3086789226165028E-2</v>
      </c>
      <c r="J72" s="85">
        <v>-1.6942771084336172E-3</v>
      </c>
      <c r="K72" s="85">
        <v>1.38148805999605E-3</v>
      </c>
      <c r="L72" s="85">
        <v>-1.7179023508137381E-2</v>
      </c>
      <c r="M72" s="85">
        <v>-1.7274472168905985E-2</v>
      </c>
      <c r="N72" s="86">
        <f t="shared" si="2"/>
        <v>-9.3883199106395334E-3</v>
      </c>
    </row>
    <row r="73" spans="1:14" x14ac:dyDescent="0.2">
      <c r="A73" s="84">
        <v>38523</v>
      </c>
      <c r="B73" s="85">
        <v>-2.0136641495864804E-2</v>
      </c>
      <c r="C73" s="85">
        <v>-1.2218649517684921E-2</v>
      </c>
      <c r="D73" s="85">
        <v>-4.1614648356225192E-4</v>
      </c>
      <c r="E73" s="85">
        <v>2.1170610211706187E-2</v>
      </c>
      <c r="F73" s="85">
        <v>8.7098530212301739E-3</v>
      </c>
      <c r="G73" s="85">
        <v>1.4546491728465449E-2</v>
      </c>
      <c r="H73" s="85">
        <v>-5.0689054332330175E-3</v>
      </c>
      <c r="I73" s="85">
        <v>4.3763676148795838E-3</v>
      </c>
      <c r="J73" s="85">
        <v>1.6971525551574551E-3</v>
      </c>
      <c r="K73" s="85">
        <v>-2.700039416633826E-2</v>
      </c>
      <c r="L73" s="85">
        <v>-4.3238270469181272E-2</v>
      </c>
      <c r="M73" s="85">
        <v>-3.6892361111111049E-2</v>
      </c>
      <c r="N73" s="86">
        <f t="shared" si="2"/>
        <v>-7.87257446212806E-3</v>
      </c>
    </row>
    <row r="74" spans="1:14" x14ac:dyDescent="0.2">
      <c r="A74" s="84">
        <v>38516</v>
      </c>
      <c r="B74" s="85">
        <v>-1.8348623853203794E-4</v>
      </c>
      <c r="C74" s="85">
        <v>1.3671875E-2</v>
      </c>
      <c r="D74" s="85">
        <v>3.0391340549541956E-2</v>
      </c>
      <c r="E74" s="85">
        <v>2.4390243902439046E-2</v>
      </c>
      <c r="F74" s="85">
        <v>-1.1872638963842497E-2</v>
      </c>
      <c r="G74" s="85">
        <v>1.4337925217880132E-2</v>
      </c>
      <c r="H74" s="85">
        <v>3.9006527622990061E-2</v>
      </c>
      <c r="I74" s="85">
        <v>2.6143790849673332E-2</v>
      </c>
      <c r="J74" s="85">
        <v>-3.275602409638545E-2</v>
      </c>
      <c r="K74" s="85">
        <v>6.2993720883127491E-2</v>
      </c>
      <c r="L74" s="85">
        <v>3.1730769230769118E-2</v>
      </c>
      <c r="M74" s="85">
        <v>3.4024335286164886E-2</v>
      </c>
      <c r="N74" s="86">
        <f t="shared" si="2"/>
        <v>1.9323198270318837E-2</v>
      </c>
    </row>
    <row r="75" spans="1:14" x14ac:dyDescent="0.2">
      <c r="A75" s="84">
        <v>38509</v>
      </c>
      <c r="B75" s="85">
        <v>-1.5232152688566813E-2</v>
      </c>
      <c r="C75" s="85">
        <v>-1.4771997430957029E-2</v>
      </c>
      <c r="D75" s="85">
        <v>8.4848484848485395E-3</v>
      </c>
      <c r="E75" s="85">
        <v>-2.7380952380952395E-2</v>
      </c>
      <c r="F75" s="85">
        <v>1.6930638995084735E-2</v>
      </c>
      <c r="G75" s="85">
        <v>-1.8015521064301487E-2</v>
      </c>
      <c r="H75" s="85">
        <v>-7.3551946061907181E-3</v>
      </c>
      <c r="I75" s="85">
        <v>-7.3885350318471432E-2</v>
      </c>
      <c r="J75" s="85">
        <v>-2.9194239003503264E-2</v>
      </c>
      <c r="K75" s="85">
        <v>-4.7637195121951192E-3</v>
      </c>
      <c r="L75" s="85">
        <v>-2.1808014911463225E-2</v>
      </c>
      <c r="M75" s="85">
        <v>4.576160383525929E-3</v>
      </c>
      <c r="N75" s="86">
        <f t="shared" si="2"/>
        <v>-1.5201291171095191E-2</v>
      </c>
    </row>
    <row r="76" spans="1:14" x14ac:dyDescent="0.2">
      <c r="A76" s="84">
        <v>38503</v>
      </c>
      <c r="B76" s="85">
        <v>2.1617592247484163E-2</v>
      </c>
      <c r="C76" s="85">
        <v>-5.0521512385919176E-2</v>
      </c>
      <c r="D76" s="85">
        <v>2.3237179487179516E-2</v>
      </c>
      <c r="E76" s="85">
        <v>-4.1615667074663465E-2</v>
      </c>
      <c r="F76" s="85">
        <v>-3.3297529538131143E-2</v>
      </c>
      <c r="G76" s="85">
        <v>3.3869602032174928E-3</v>
      </c>
      <c r="H76" s="85">
        <v>-5.5572707625810569E-3</v>
      </c>
      <c r="I76" s="85">
        <v>-3.438789546079779E-2</v>
      </c>
      <c r="J76" s="85">
        <v>-1.9446672012830901E-2</v>
      </c>
      <c r="K76" s="85">
        <v>-1.2253494160444078E-2</v>
      </c>
      <c r="L76" s="85">
        <v>4.382621951219523E-3</v>
      </c>
      <c r="M76" s="85">
        <v>-4.9891540130152512E-3</v>
      </c>
      <c r="N76" s="86">
        <f t="shared" si="2"/>
        <v>-1.2453736793273515E-2</v>
      </c>
    </row>
    <row r="77" spans="1:14" x14ac:dyDescent="0.2">
      <c r="A77" s="84">
        <v>38495</v>
      </c>
      <c r="B77" s="85">
        <v>-1.0762495439620601E-2</v>
      </c>
      <c r="C77" s="85">
        <v>-1.1671815997253643E-2</v>
      </c>
      <c r="D77" s="85">
        <v>-3.9154267815189048E-4</v>
      </c>
      <c r="E77" s="85">
        <v>-1.072796934865905E-2</v>
      </c>
      <c r="F77" s="85">
        <v>-1.8333333333333202E-2</v>
      </c>
      <c r="G77" s="85">
        <v>7.0323488045007654E-3</v>
      </c>
      <c r="H77" s="85">
        <v>5.1226327227569257E-3</v>
      </c>
      <c r="I77" s="85">
        <v>-1.2820512820512775E-2</v>
      </c>
      <c r="J77" s="85">
        <v>7.1560008178286338E-3</v>
      </c>
      <c r="K77" s="85">
        <v>-4.6326807520837399E-2</v>
      </c>
      <c r="L77" s="85">
        <v>-2.2955795864162409E-2</v>
      </c>
      <c r="M77" s="85">
        <v>-7.6302594288204517E-3</v>
      </c>
      <c r="N77" s="86">
        <f t="shared" si="2"/>
        <v>-1.0192462507188757E-2</v>
      </c>
    </row>
    <row r="78" spans="1:14" x14ac:dyDescent="0.2">
      <c r="A78" s="84">
        <v>38488</v>
      </c>
      <c r="B78" s="85">
        <v>-1.7702378757145421E-2</v>
      </c>
      <c r="C78" s="85">
        <v>-7.4678707884682116E-2</v>
      </c>
      <c r="D78" s="85">
        <v>-4.7003525264395218E-3</v>
      </c>
      <c r="E78" s="85">
        <v>2.5303382390911455E-2</v>
      </c>
      <c r="F78" s="85">
        <v>5.6593095642329949E-3</v>
      </c>
      <c r="G78" s="85">
        <v>7.2625698324024768E-3</v>
      </c>
      <c r="H78" s="85">
        <v>6.9498069498070691E-3</v>
      </c>
      <c r="I78" s="85">
        <v>3.8961038961039085E-2</v>
      </c>
      <c r="J78" s="85">
        <v>1.5022330491270885E-2</v>
      </c>
      <c r="K78" s="85">
        <v>2.642276422764045E-3</v>
      </c>
      <c r="L78" s="85">
        <v>4.8543689320388328E-3</v>
      </c>
      <c r="M78" s="85">
        <v>9.8857644991212634E-3</v>
      </c>
      <c r="N78" s="86">
        <f t="shared" si="2"/>
        <v>1.6216174062767541E-3</v>
      </c>
    </row>
    <row r="79" spans="1:14" x14ac:dyDescent="0.2">
      <c r="A79" s="84">
        <v>38481</v>
      </c>
      <c r="B79" s="85">
        <v>-1.8584569175896459E-2</v>
      </c>
      <c r="C79" s="85">
        <v>-1.9519519519519468E-2</v>
      </c>
      <c r="D79" s="85">
        <v>-7.2412436048799655E-2</v>
      </c>
      <c r="E79" s="85">
        <v>-3.9032989171493448E-2</v>
      </c>
      <c r="F79" s="85">
        <v>-6.190208216094506E-3</v>
      </c>
      <c r="G79" s="85">
        <v>-4.4370493621741613E-2</v>
      </c>
      <c r="H79" s="85">
        <v>-4.9386503067484711E-2</v>
      </c>
      <c r="I79" s="85">
        <v>-2.0370370370370483E-2</v>
      </c>
      <c r="J79" s="85">
        <v>-3.5600000000000076E-2</v>
      </c>
      <c r="K79" s="85">
        <v>-1.419014798297169E-2</v>
      </c>
      <c r="L79" s="85">
        <v>-4.8502415458937187E-2</v>
      </c>
      <c r="M79" s="85">
        <v>-4.1766369371329159E-2</v>
      </c>
      <c r="N79" s="86">
        <f t="shared" si="2"/>
        <v>-3.4160501833719874E-2</v>
      </c>
    </row>
    <row r="80" spans="1:14" x14ac:dyDescent="0.2">
      <c r="A80" s="84">
        <v>38474</v>
      </c>
      <c r="B80" s="85">
        <v>4.3993879112471657E-3</v>
      </c>
      <c r="C80" s="85">
        <v>4.0964777947932518E-2</v>
      </c>
      <c r="D80" s="85">
        <v>-1.1455239711497645E-2</v>
      </c>
      <c r="E80" s="85">
        <v>-5.2410901467504489E-3</v>
      </c>
      <c r="F80" s="85">
        <v>5.0962627406567762E-3</v>
      </c>
      <c r="G80" s="85">
        <v>3.3372025536854366E-2</v>
      </c>
      <c r="H80" s="85">
        <v>-7.2604065827686082E-3</v>
      </c>
      <c r="I80" s="85">
        <v>3.7807183364839458E-2</v>
      </c>
      <c r="J80" s="85">
        <v>3.7951057652426234E-2</v>
      </c>
      <c r="K80" s="85">
        <v>-6.7859346082665972E-3</v>
      </c>
      <c r="L80" s="85">
        <v>4.7725426482534639E-2</v>
      </c>
      <c r="M80" s="85">
        <v>9.0805902383661596E-4</v>
      </c>
      <c r="N80" s="86">
        <f t="shared" si="2"/>
        <v>1.4790125800920373E-2</v>
      </c>
    </row>
    <row r="81" spans="1:14" x14ac:dyDescent="0.2">
      <c r="A81" s="84">
        <v>38467</v>
      </c>
      <c r="B81" s="85">
        <v>-1.5425633212721279E-2</v>
      </c>
      <c r="C81" s="85">
        <v>-3.5674880470761394E-2</v>
      </c>
      <c r="D81" s="85">
        <v>-6.9527896995708161E-2</v>
      </c>
      <c r="E81" s="85">
        <v>6.322444678609207E-3</v>
      </c>
      <c r="F81" s="85">
        <v>-3.1549295774647823E-2</v>
      </c>
      <c r="G81" s="85">
        <v>-3.3698399326030914E-3</v>
      </c>
      <c r="H81" s="85">
        <v>1.4952055907687445E-2</v>
      </c>
      <c r="I81" s="85">
        <v>-6.8761384335154885E-2</v>
      </c>
      <c r="J81" s="85">
        <v>5.1348651348651408E-2</v>
      </c>
      <c r="K81" s="85">
        <v>7.6604554865424834E-3</v>
      </c>
      <c r="L81" s="85">
        <v>-6.7842605156038793E-3</v>
      </c>
      <c r="M81" s="85">
        <v>-2.3361306418689054E-2</v>
      </c>
      <c r="N81" s="86">
        <f t="shared" si="2"/>
        <v>-1.4514240852866586E-2</v>
      </c>
    </row>
    <row r="82" spans="1:14" x14ac:dyDescent="0.2">
      <c r="A82" s="84">
        <v>38460</v>
      </c>
      <c r="B82" s="85">
        <v>-1.1992263056092911E-2</v>
      </c>
      <c r="C82" s="85">
        <v>-7.6277650648359785E-3</v>
      </c>
      <c r="D82" s="85">
        <v>1.9372693726937396E-2</v>
      </c>
      <c r="E82" s="85">
        <v>-1.308900523560208E-2</v>
      </c>
      <c r="F82" s="85">
        <v>8.1442699243745587E-3</v>
      </c>
      <c r="G82" s="85">
        <v>-1.7469709777402254E-2</v>
      </c>
      <c r="H82" s="85">
        <v>1.7293835068054486E-2</v>
      </c>
      <c r="I82" s="85">
        <v>2.7383863080684634E-2</v>
      </c>
      <c r="J82" s="85">
        <v>-4.5039908779931581E-2</v>
      </c>
      <c r="K82" s="85">
        <v>-9.22539552085474E-2</v>
      </c>
      <c r="L82" s="85">
        <v>-6.2256049960968118E-2</v>
      </c>
      <c r="M82" s="85">
        <v>-2.7635856943799442E-2</v>
      </c>
      <c r="N82" s="86">
        <f t="shared" si="2"/>
        <v>-1.7097487685594059E-2</v>
      </c>
    </row>
    <row r="83" spans="1:14" x14ac:dyDescent="0.2">
      <c r="A83" s="84">
        <v>38453</v>
      </c>
      <c r="B83" s="85">
        <v>-2.4667188723570876E-2</v>
      </c>
      <c r="C83" s="85">
        <v>3.3051498847040728E-2</v>
      </c>
      <c r="D83" s="85">
        <v>1.2217194570135703E-2</v>
      </c>
      <c r="E83" s="85">
        <v>-9.2838196286472163E-3</v>
      </c>
      <c r="F83" s="85">
        <v>1.7311021350261413E-3</v>
      </c>
      <c r="G83" s="85">
        <v>-2.6957269859477995E-2</v>
      </c>
      <c r="H83" s="85">
        <v>1.5740594994490875E-2</v>
      </c>
      <c r="I83" s="85">
        <v>-1.1423131841980072E-2</v>
      </c>
      <c r="J83" s="85">
        <v>2.4676616915422889E-2</v>
      </c>
      <c r="K83" s="85">
        <v>-1.3580805794477513E-3</v>
      </c>
      <c r="L83" s="85">
        <v>-2.0811654526533552E-3</v>
      </c>
      <c r="M83" s="85">
        <v>2.8660138524002843E-2</v>
      </c>
      <c r="N83" s="86">
        <f t="shared" si="2"/>
        <v>3.3588741583618262E-3</v>
      </c>
    </row>
    <row r="84" spans="1:14" x14ac:dyDescent="0.2">
      <c r="A84" s="84">
        <v>38446</v>
      </c>
      <c r="B84" s="85">
        <v>2.0072260136494435E-4</v>
      </c>
      <c r="C84" s="85">
        <v>0.10900297619047628</v>
      </c>
      <c r="D84" s="85">
        <v>6.4818953956191194E-2</v>
      </c>
      <c r="E84" s="85">
        <v>5.3547523427039945E-3</v>
      </c>
      <c r="F84" s="85">
        <v>2.6497695852534697E-2</v>
      </c>
      <c r="G84" s="85">
        <v>1.6799292661361598E-2</v>
      </c>
      <c r="H84" s="85">
        <v>1.9215868588253526E-2</v>
      </c>
      <c r="I84" s="85">
        <v>0.10495907558979289</v>
      </c>
      <c r="J84" s="85">
        <v>8.1180811808118092E-2</v>
      </c>
      <c r="K84" s="85">
        <v>6.7996373526746368E-4</v>
      </c>
      <c r="L84" s="85">
        <v>1.6266944734097954E-2</v>
      </c>
      <c r="M84" s="85">
        <v>2.5539818899465994E-2</v>
      </c>
      <c r="N84" s="86">
        <f t="shared" si="2"/>
        <v>3.9209739746635719E-2</v>
      </c>
    </row>
    <row r="85" spans="1:14" x14ac:dyDescent="0.2">
      <c r="A85" s="84">
        <v>38439</v>
      </c>
      <c r="B85" s="85">
        <v>-1.5452538631346546E-2</v>
      </c>
      <c r="C85" s="85">
        <v>-3.5558537403555857E-2</v>
      </c>
      <c r="D85" s="85">
        <v>-2.5608732157850533E-2</v>
      </c>
      <c r="E85" s="85">
        <v>3.9946737683089761E-3</v>
      </c>
      <c r="F85" s="85">
        <v>7.8563411896745983E-3</v>
      </c>
      <c r="G85" s="85">
        <v>-7.2463768115942351E-3</v>
      </c>
      <c r="H85" s="85">
        <v>-4.7133951649688255E-3</v>
      </c>
      <c r="I85" s="85">
        <v>-1.2200435729847414E-2</v>
      </c>
      <c r="J85" s="85">
        <v>2.1555595473324862E-2</v>
      </c>
      <c r="K85" s="85">
        <v>2.0611551528878946E-2</v>
      </c>
      <c r="L85" s="85">
        <v>1.4364867638005929E-3</v>
      </c>
      <c r="M85" s="85">
        <v>-1.0414308354086521E-2</v>
      </c>
      <c r="N85" s="86">
        <f t="shared" si="2"/>
        <v>-4.64497296077183E-3</v>
      </c>
    </row>
    <row r="86" spans="1:14" x14ac:dyDescent="0.2">
      <c r="A86" s="84">
        <v>38432</v>
      </c>
      <c r="B86" s="85">
        <v>-1.5491235222176991E-2</v>
      </c>
      <c r="C86" s="85">
        <v>-5.0086956521739223E-2</v>
      </c>
      <c r="D86" s="85">
        <v>2.5850926324859858E-2</v>
      </c>
      <c r="E86" s="85">
        <v>2.9177718832890998E-2</v>
      </c>
      <c r="F86" s="85">
        <v>4.342984409799544E-2</v>
      </c>
      <c r="G86" s="85">
        <v>1.9854014598540193E-2</v>
      </c>
      <c r="H86" s="85">
        <v>-9.9297280782155717E-3</v>
      </c>
      <c r="I86" s="85">
        <v>-3.3524481693868569E-2</v>
      </c>
      <c r="J86" s="85">
        <v>-2.2507473184455673E-2</v>
      </c>
      <c r="K86" s="85">
        <v>-1.2871726586773269E-2</v>
      </c>
      <c r="L86" s="85">
        <v>2.049180327868827E-3</v>
      </c>
      <c r="M86" s="85">
        <v>5.7652711050102834E-2</v>
      </c>
      <c r="N86" s="86">
        <f t="shared" si="2"/>
        <v>2.8002328287524045E-3</v>
      </c>
    </row>
    <row r="87" spans="1:14" x14ac:dyDescent="0.2">
      <c r="A87" s="84">
        <v>38425</v>
      </c>
      <c r="B87" s="85">
        <v>2.1532091097308692E-2</v>
      </c>
      <c r="C87" s="85">
        <v>6.151592823141705E-2</v>
      </c>
      <c r="D87" s="85">
        <v>1.4279714405711852E-2</v>
      </c>
      <c r="E87" s="85">
        <v>1.984536082474242E-2</v>
      </c>
      <c r="F87" s="85">
        <v>6.4034151547491813E-3</v>
      </c>
      <c r="G87" s="85">
        <v>3.0918980818780417E-2</v>
      </c>
      <c r="H87" s="85">
        <v>1.3886745872551121E-3</v>
      </c>
      <c r="I87" s="85">
        <v>3.240529438612505E-2</v>
      </c>
      <c r="J87" s="85">
        <v>3.9395574743658957E-2</v>
      </c>
      <c r="K87" s="85">
        <v>2.0683453237410054E-2</v>
      </c>
      <c r="L87" s="85">
        <v>-1.6973415132924274E-2</v>
      </c>
      <c r="M87" s="85">
        <v>-2.2279904823707453E-2</v>
      </c>
      <c r="N87" s="86">
        <f t="shared" si="2"/>
        <v>1.7426263960877254E-2</v>
      </c>
    </row>
    <row r="88" spans="1:14" x14ac:dyDescent="0.2">
      <c r="A88" s="84">
        <v>38418</v>
      </c>
      <c r="B88" s="85">
        <v>3.2428050263477726E-3</v>
      </c>
      <c r="C88" s="85">
        <v>-1.1728182131769627E-2</v>
      </c>
      <c r="D88" s="85">
        <v>8.2815734989671874E-4</v>
      </c>
      <c r="E88" s="85">
        <v>9.8559514783926883E-3</v>
      </c>
      <c r="F88" s="85">
        <v>3.6055143160127257E-2</v>
      </c>
      <c r="G88" s="85">
        <v>2.7770063871146444E-3</v>
      </c>
      <c r="H88" s="85">
        <v>1.06317411402157E-2</v>
      </c>
      <c r="I88" s="85">
        <v>6.1892130857648109E-2</v>
      </c>
      <c r="J88" s="85">
        <v>1.2287988923503024E-2</v>
      </c>
      <c r="K88" s="85">
        <v>1.0132158590308471E-2</v>
      </c>
      <c r="L88" s="85">
        <v>-1.4562096941960201E-3</v>
      </c>
      <c r="M88" s="85">
        <v>-2.4115044247787654E-2</v>
      </c>
      <c r="N88" s="86">
        <f t="shared" si="2"/>
        <v>9.2003039033167564E-3</v>
      </c>
    </row>
    <row r="89" spans="1:14" x14ac:dyDescent="0.2">
      <c r="A89" s="84">
        <v>38411</v>
      </c>
      <c r="B89" s="85">
        <v>4.7070707070707041E-2</v>
      </c>
      <c r="C89" s="85">
        <v>1.0094240837696336</v>
      </c>
      <c r="D89" s="85">
        <v>3.5167563094745447E-2</v>
      </c>
      <c r="E89" s="85">
        <v>4.9299299299299326E-2</v>
      </c>
      <c r="F89" s="85">
        <v>3.0706243602867112E-3</v>
      </c>
      <c r="G89" s="85">
        <v>3.8770423705344781E-2</v>
      </c>
      <c r="H89" s="85">
        <v>4.1164811709102356E-3</v>
      </c>
      <c r="I89" s="85">
        <v>8.3263946711074066E-3</v>
      </c>
      <c r="J89" s="85">
        <v>-1.7096939647803788E-3</v>
      </c>
      <c r="K89" s="85">
        <v>3.4888791975578037E-3</v>
      </c>
      <c r="L89" s="85">
        <v>2.5000000000000133E-2</v>
      </c>
      <c r="M89" s="85">
        <v>2.1083654500113402E-2</v>
      </c>
      <c r="N89" s="86">
        <f t="shared" si="2"/>
        <v>0.10359236807291046</v>
      </c>
    </row>
    <row r="90" spans="1:14" x14ac:dyDescent="0.2">
      <c r="A90" s="84">
        <v>38405</v>
      </c>
      <c r="B90" s="85">
        <v>-9.6469226316805434E-3</v>
      </c>
      <c r="C90" s="85">
        <v>-6.374848011116907E-2</v>
      </c>
      <c r="D90" s="85">
        <v>-8.9128697042366145E-2</v>
      </c>
      <c r="E90" s="85">
        <v>-5.008347245408995E-3</v>
      </c>
      <c r="F90" s="85">
        <v>1.9387755102040716E-2</v>
      </c>
      <c r="G90" s="85">
        <v>-1.4396161023726983E-2</v>
      </c>
      <c r="H90" s="85">
        <v>6.6808381415122131E-3</v>
      </c>
      <c r="I90" s="85">
        <v>3.2204789430223091E-2</v>
      </c>
      <c r="J90" s="85">
        <v>-1.2502140777530424E-2</v>
      </c>
      <c r="K90" s="85">
        <v>-1.9556714471969938E-3</v>
      </c>
      <c r="L90" s="85">
        <v>-4.7764227642276502E-2</v>
      </c>
      <c r="M90" s="85">
        <v>-5.2841918294849077E-2</v>
      </c>
      <c r="N90" s="86">
        <f t="shared" si="2"/>
        <v>-1.9893265295202394E-2</v>
      </c>
    </row>
    <row r="91" spans="1:14" x14ac:dyDescent="0.2">
      <c r="A91" s="84">
        <v>38397</v>
      </c>
      <c r="B91" s="85">
        <v>-6.2341710500681824E-3</v>
      </c>
      <c r="C91" s="85">
        <v>-2.7643784786641978E-2</v>
      </c>
      <c r="D91" s="85">
        <v>1.4041246160596765E-2</v>
      </c>
      <c r="E91" s="85">
        <v>5.5129434324066029E-3</v>
      </c>
      <c r="F91" s="85">
        <v>-1.4514514514514465E-2</v>
      </c>
      <c r="G91" s="85">
        <v>-1.244252096294296E-2</v>
      </c>
      <c r="H91" s="85">
        <v>-5.7315233785821817E-3</v>
      </c>
      <c r="I91" s="85">
        <v>-2.079999999999993E-2</v>
      </c>
      <c r="J91" s="85">
        <v>-1.734304543877796E-4</v>
      </c>
      <c r="K91" s="85">
        <v>-7.1848465055518451E-3</v>
      </c>
      <c r="L91" s="85">
        <v>4.69583778014937E-3</v>
      </c>
      <c r="M91" s="85">
        <v>5.1570557899673908E-3</v>
      </c>
      <c r="N91" s="86">
        <f t="shared" si="2"/>
        <v>-5.4431423741307661E-3</v>
      </c>
    </row>
    <row r="92" spans="1:14" x14ac:dyDescent="0.2">
      <c r="A92" s="84">
        <v>38390</v>
      </c>
      <c r="B92" s="85">
        <v>3.9207998431680657E-3</v>
      </c>
      <c r="C92" s="85">
        <v>-2.0415951154359679E-2</v>
      </c>
      <c r="D92" s="85">
        <v>-9.0869753353527427E-3</v>
      </c>
      <c r="E92" s="85">
        <v>2.6221692491059656E-3</v>
      </c>
      <c r="F92" s="85">
        <v>9.6495683087860495E-3</v>
      </c>
      <c r="G92" s="85">
        <v>2.6568063544234466E-2</v>
      </c>
      <c r="H92" s="85">
        <v>2.6547330097087318E-2</v>
      </c>
      <c r="I92" s="85">
        <v>5.2696078431372584E-2</v>
      </c>
      <c r="J92" s="85">
        <v>4.6313963573287209E-2</v>
      </c>
      <c r="K92" s="85">
        <v>-5.7017543859648745E-3</v>
      </c>
      <c r="L92" s="85">
        <v>6.7983853834714392E-3</v>
      </c>
      <c r="M92" s="85">
        <v>-1.6324626865671377E-3</v>
      </c>
      <c r="N92" s="86">
        <f t="shared" si="2"/>
        <v>1.1523267905689055E-2</v>
      </c>
    </row>
    <row r="93" spans="1:14" x14ac:dyDescent="0.2">
      <c r="A93" s="84">
        <v>38383</v>
      </c>
      <c r="B93" s="85">
        <v>-1.4059753954305809E-2</v>
      </c>
      <c r="C93" s="85">
        <v>5.4343591741332187E-2</v>
      </c>
      <c r="D93" s="85">
        <v>5.065502183406112E-2</v>
      </c>
      <c r="E93" s="85">
        <v>-2.8292914883499831E-2</v>
      </c>
      <c r="F93" s="85">
        <v>3.4708249496981924E-2</v>
      </c>
      <c r="G93" s="85">
        <v>5.6029882604056169E-3</v>
      </c>
      <c r="H93" s="85">
        <v>-1.1378749815279976E-2</v>
      </c>
      <c r="I93" s="85">
        <v>2.4835079549864192E-2</v>
      </c>
      <c r="J93" s="85">
        <v>-2.7188328912466808E-2</v>
      </c>
      <c r="K93" s="85">
        <v>0.12373180414644902</v>
      </c>
      <c r="L93" s="85">
        <v>6.5414644439756309E-3</v>
      </c>
      <c r="M93" s="85">
        <v>3.1768278439616937E-2</v>
      </c>
      <c r="N93" s="86">
        <f t="shared" si="2"/>
        <v>2.0938894195594516E-2</v>
      </c>
    </row>
    <row r="94" spans="1:14" x14ac:dyDescent="0.2">
      <c r="A94" s="84">
        <v>38376</v>
      </c>
      <c r="B94" s="85">
        <v>-1.3666072489601944E-2</v>
      </c>
      <c r="C94" s="85">
        <v>-8.5534823572880114E-2</v>
      </c>
      <c r="D94" s="85">
        <v>-6.0266001662510393E-2</v>
      </c>
      <c r="E94" s="85">
        <v>-4.281869341815514E-2</v>
      </c>
      <c r="F94" s="85">
        <v>-5.8337384540593229E-3</v>
      </c>
      <c r="G94" s="85">
        <v>-1.8307243300610176E-2</v>
      </c>
      <c r="H94" s="85">
        <v>-2.5710014947683102E-2</v>
      </c>
      <c r="I94" s="85">
        <v>-0.12381673608481636</v>
      </c>
      <c r="J94" s="85">
        <v>-7.3449216087252966E-2</v>
      </c>
      <c r="K94" s="85">
        <v>1.9627085377815767E-4</v>
      </c>
      <c r="L94" s="85">
        <v>-4.6121593291404639E-2</v>
      </c>
      <c r="M94" s="85">
        <v>-2.9431741000679246E-2</v>
      </c>
      <c r="N94" s="86">
        <f t="shared" si="2"/>
        <v>-4.3729966954656273E-2</v>
      </c>
    </row>
    <row r="95" spans="1:14" x14ac:dyDescent="0.2">
      <c r="A95" s="84">
        <v>38370</v>
      </c>
      <c r="B95" s="85">
        <v>-8.2329317269075331E-3</v>
      </c>
      <c r="C95" s="85">
        <v>-3.0101010101010184E-2</v>
      </c>
      <c r="D95" s="85">
        <v>2.565236620964173E-2</v>
      </c>
      <c r="E95" s="85">
        <v>-2.5562372188137061E-3</v>
      </c>
      <c r="F95" s="85">
        <v>2.0048899755501282E-2</v>
      </c>
      <c r="G95" s="85">
        <v>-4.0540540540540126E-3</v>
      </c>
      <c r="H95" s="85">
        <v>-2.1478981282602061E-2</v>
      </c>
      <c r="I95" s="85">
        <v>-4.969749351771835E-2</v>
      </c>
      <c r="J95" s="85">
        <v>2.023174544785622E-3</v>
      </c>
      <c r="K95" s="85">
        <v>-4.4937205651491396E-2</v>
      </c>
      <c r="L95" s="85">
        <v>-4.3956043956043911E-2</v>
      </c>
      <c r="M95" s="85">
        <v>-1.5162118031257221E-2</v>
      </c>
      <c r="N95" s="86">
        <f t="shared" si="2"/>
        <v>-1.4370969585830812E-2</v>
      </c>
    </row>
    <row r="96" spans="1:14" x14ac:dyDescent="0.2">
      <c r="A96" s="84">
        <v>38362</v>
      </c>
      <c r="B96" s="85">
        <v>2.4296416278597466E-3</v>
      </c>
      <c r="C96" s="85">
        <v>1.7496354926057167E-2</v>
      </c>
      <c r="D96" s="85">
        <v>1.1642949547218562E-2</v>
      </c>
      <c r="E96" s="85">
        <v>-1.2301383905689467E-2</v>
      </c>
      <c r="F96" s="85">
        <v>2.0613614573346206E-2</v>
      </c>
      <c r="G96" s="85">
        <v>2.6051560379918515E-2</v>
      </c>
      <c r="H96" s="85">
        <v>9.2505487613672166E-3</v>
      </c>
      <c r="I96" s="85">
        <v>3.7289677125966314E-2</v>
      </c>
      <c r="J96" s="85">
        <v>2.9185022026431806E-2</v>
      </c>
      <c r="K96" s="85">
        <v>2.5272241627285696E-2</v>
      </c>
      <c r="L96" s="85">
        <v>3.2183908045977372E-3</v>
      </c>
      <c r="M96" s="85">
        <v>-1.3974419706300201E-2</v>
      </c>
      <c r="N96" s="86">
        <f t="shared" si="2"/>
        <v>1.3014516482338276E-2</v>
      </c>
    </row>
    <row r="97" spans="1:14" x14ac:dyDescent="0.2">
      <c r="A97" s="84">
        <v>38355</v>
      </c>
      <c r="B97" s="85">
        <v>-1.3330640274691885E-2</v>
      </c>
      <c r="C97" s="85">
        <v>-8.1883316274311557E-4</v>
      </c>
      <c r="D97" s="85">
        <v>-1.7476555839727181E-2</v>
      </c>
      <c r="E97" s="85">
        <v>7.7841203943962434E-4</v>
      </c>
      <c r="F97" s="85">
        <v>3.2879286049789513E-3</v>
      </c>
      <c r="G97" s="85">
        <v>1.5604337476857966E-2</v>
      </c>
      <c r="H97" s="85">
        <v>-3.5730930557713592E-3</v>
      </c>
      <c r="I97" s="85">
        <v>1.7536168347216163E-2</v>
      </c>
      <c r="J97" s="85">
        <v>-1.7834849295517152E-4</v>
      </c>
      <c r="K97" s="85">
        <v>-2.8056112224448815E-2</v>
      </c>
      <c r="L97" s="85">
        <v>-8.2493125572868919E-3</v>
      </c>
      <c r="M97" s="85">
        <v>-3.1227480182560718E-3</v>
      </c>
      <c r="N97" s="86">
        <f t="shared" si="2"/>
        <v>-3.1332330964489821E-3</v>
      </c>
    </row>
    <row r="98" spans="1:14" x14ac:dyDescent="0.2">
      <c r="A98" s="84">
        <v>38348</v>
      </c>
      <c r="B98" s="85">
        <v>2.6407369498464561E-2</v>
      </c>
      <c r="C98" s="85">
        <v>-3.5033804548248337E-2</v>
      </c>
      <c r="D98" s="85">
        <v>0.14186550976138834</v>
      </c>
      <c r="E98" s="85">
        <v>5.6002074150894421E-2</v>
      </c>
      <c r="F98" s="85">
        <v>-6.7883895131086058E-2</v>
      </c>
      <c r="G98" s="85">
        <v>1.5885416666666652E-2</v>
      </c>
      <c r="H98" s="85">
        <v>2.6036794512005024E-2</v>
      </c>
      <c r="I98" s="85">
        <v>0.10814304179233081</v>
      </c>
      <c r="J98" s="85">
        <v>-9.6325365679629238E-3</v>
      </c>
      <c r="K98" s="85">
        <v>-5.257731958762879E-2</v>
      </c>
      <c r="L98" s="85">
        <v>7.1164510166358497E-2</v>
      </c>
      <c r="M98" s="85">
        <v>-7.5421686746988015E-2</v>
      </c>
      <c r="N98" s="86">
        <f t="shared" ref="N98:N129" si="3">AVERAGE(B98:M98)</f>
        <v>1.7079622830516183E-2</v>
      </c>
    </row>
    <row r="99" spans="1:14" x14ac:dyDescent="0.2">
      <c r="A99" s="84">
        <v>38341</v>
      </c>
      <c r="B99" s="85">
        <v>-9.9720781810929138E-3</v>
      </c>
      <c r="C99" s="85">
        <v>-1.8471337579617941E-2</v>
      </c>
      <c r="D99" s="85">
        <v>-4.1793313069908855E-3</v>
      </c>
      <c r="E99" s="85">
        <v>2.9216793518291206E-2</v>
      </c>
      <c r="F99" s="85">
        <v>-1.55700652938221E-2</v>
      </c>
      <c r="G99" s="85">
        <v>3.8451679056652477E-3</v>
      </c>
      <c r="H99" s="85">
        <v>-6.9898191764170559E-3</v>
      </c>
      <c r="I99" s="85">
        <v>1.5552099533437058E-2</v>
      </c>
      <c r="J99" s="85">
        <v>-8.1051873198847435E-3</v>
      </c>
      <c r="K99" s="85">
        <v>5.4406964091404664E-3</v>
      </c>
      <c r="L99" s="85">
        <v>-2.070750647109576E-2</v>
      </c>
      <c r="M99" s="85">
        <v>9.642950221527391E-3</v>
      </c>
      <c r="N99" s="86">
        <f t="shared" si="3"/>
        <v>-1.6914681450716691E-3</v>
      </c>
    </row>
    <row r="100" spans="1:14" x14ac:dyDescent="0.2">
      <c r="A100" s="84">
        <v>38334</v>
      </c>
      <c r="B100" s="85">
        <v>-1.8130539887188935E-3</v>
      </c>
      <c r="C100" s="85">
        <v>-1.5574302401038298E-2</v>
      </c>
      <c r="D100" s="85">
        <v>-2.2892025944296623E-3</v>
      </c>
      <c r="E100" s="85">
        <v>-1.216603053435128E-2</v>
      </c>
      <c r="F100" s="85">
        <v>-2.8571428571428692E-2</v>
      </c>
      <c r="G100" s="85">
        <v>-1.6343207354443168E-2</v>
      </c>
      <c r="H100" s="85">
        <v>-1.7903596021422885E-2</v>
      </c>
      <c r="I100" s="85">
        <v>-3.4073506891271088E-2</v>
      </c>
      <c r="J100" s="85">
        <v>-1.7432358816052318E-2</v>
      </c>
      <c r="K100" s="85">
        <v>-6.2770562770564364E-3</v>
      </c>
      <c r="L100" s="85">
        <v>-1.1013215859030812E-2</v>
      </c>
      <c r="M100" s="85">
        <v>-1.0841507485802815E-2</v>
      </c>
      <c r="N100" s="86">
        <f t="shared" si="3"/>
        <v>-1.452487223292053E-2</v>
      </c>
    </row>
    <row r="101" spans="1:14" x14ac:dyDescent="0.2">
      <c r="A101" s="84">
        <v>38327</v>
      </c>
      <c r="B101" s="85">
        <v>-1.9778002018163376E-2</v>
      </c>
      <c r="C101" s="85">
        <v>-2.9444078224565962E-2</v>
      </c>
      <c r="D101" s="85">
        <v>-3.3652007648183546E-2</v>
      </c>
      <c r="E101" s="85">
        <v>7.0031393383243046E-3</v>
      </c>
      <c r="F101" s="85">
        <v>6.8277310924371726E-3</v>
      </c>
      <c r="G101" s="85">
        <v>-2.3104880581516163E-2</v>
      </c>
      <c r="H101" s="85">
        <v>-2.8046120286694398E-3</v>
      </c>
      <c r="I101" s="85">
        <v>4.1617122473246226E-2</v>
      </c>
      <c r="J101" s="85">
        <v>-7.5771576418406372E-3</v>
      </c>
      <c r="K101" s="85">
        <v>3.1365715530385696E-2</v>
      </c>
      <c r="L101" s="85">
        <v>-1.1135857461024523E-2</v>
      </c>
      <c r="M101" s="85">
        <v>1.4352818371607512E-2</v>
      </c>
      <c r="N101" s="86">
        <f t="shared" si="3"/>
        <v>-2.1941723998302278E-3</v>
      </c>
    </row>
    <row r="102" spans="1:14" x14ac:dyDescent="0.2">
      <c r="A102" s="84">
        <v>38320</v>
      </c>
      <c r="B102" s="85">
        <v>1.8529956763433386E-3</v>
      </c>
      <c r="C102" s="85">
        <v>-2.150781073126562E-2</v>
      </c>
      <c r="D102" s="85">
        <v>2.8096557182429871E-2</v>
      </c>
      <c r="E102" s="85">
        <v>-3.3573141486810676E-2</v>
      </c>
      <c r="F102" s="85">
        <v>2.6604068857589924E-2</v>
      </c>
      <c r="G102" s="85">
        <v>1.1427052883337785E-2</v>
      </c>
      <c r="H102" s="85">
        <v>-3.1250000000004885E-4</v>
      </c>
      <c r="I102" s="85">
        <v>6.3165905631659136E-2</v>
      </c>
      <c r="J102" s="85">
        <v>-1.173184357541901E-2</v>
      </c>
      <c r="K102" s="85">
        <v>-6.9904963041182766E-2</v>
      </c>
      <c r="L102" s="85">
        <v>-1.5090090090090102E-2</v>
      </c>
      <c r="M102" s="85">
        <v>2.8299459737586297E-3</v>
      </c>
      <c r="N102" s="86">
        <f t="shared" si="3"/>
        <v>-1.5119852266374616E-3</v>
      </c>
    </row>
    <row r="103" spans="1:14" x14ac:dyDescent="0.2">
      <c r="A103" s="84">
        <v>38313</v>
      </c>
      <c r="B103" s="85">
        <v>2.2400328812166137E-2</v>
      </c>
      <c r="C103" s="85">
        <v>4.3961129106895314E-3</v>
      </c>
      <c r="D103" s="85">
        <v>-0.12856043110084681</v>
      </c>
      <c r="E103" s="85">
        <v>-1.4888337468981216E-3</v>
      </c>
      <c r="F103" s="85">
        <v>2.5406504065041968E-3</v>
      </c>
      <c r="G103" s="85">
        <v>-9.721492380452057E-3</v>
      </c>
      <c r="H103" s="85">
        <v>-4.0637699281025341E-3</v>
      </c>
      <c r="I103" s="85">
        <v>-5.4760200429491812E-2</v>
      </c>
      <c r="J103" s="85">
        <v>-3.6743923120407085E-2</v>
      </c>
      <c r="K103" s="85">
        <v>-2.8610354223433165E-2</v>
      </c>
      <c r="L103" s="85">
        <v>-1.7608049394008618E-2</v>
      </c>
      <c r="M103" s="85">
        <v>-9.2355053873781623E-3</v>
      </c>
      <c r="N103" s="86">
        <f t="shared" si="3"/>
        <v>-2.1787955631804874E-2</v>
      </c>
    </row>
    <row r="104" spans="1:14" x14ac:dyDescent="0.2">
      <c r="A104" s="84">
        <v>38306</v>
      </c>
      <c r="B104" s="85">
        <v>-1.9095477386934734E-2</v>
      </c>
      <c r="C104" s="85">
        <v>-4.8836673577516643E-2</v>
      </c>
      <c r="D104" s="85">
        <v>-4.3286219081272059E-2</v>
      </c>
      <c r="E104" s="85">
        <v>-4.0755467196819106E-2</v>
      </c>
      <c r="F104" s="85">
        <v>2.1287379624936653E-2</v>
      </c>
      <c r="G104" s="85">
        <v>-7.1637039002386826E-3</v>
      </c>
      <c r="H104" s="85">
        <v>-1.9460138104205882E-2</v>
      </c>
      <c r="I104" s="85">
        <v>-3.2563422945853793E-2</v>
      </c>
      <c r="J104" s="85">
        <v>2.2300469483568008E-2</v>
      </c>
      <c r="K104" s="85">
        <v>3.2725572697522853E-3</v>
      </c>
      <c r="L104" s="85">
        <v>-9.5437616387338275E-3</v>
      </c>
      <c r="M104" s="85">
        <v>-1.3464526152252576E-2</v>
      </c>
      <c r="N104" s="86">
        <f t="shared" si="3"/>
        <v>-1.5609081967130864E-2</v>
      </c>
    </row>
    <row r="105" spans="1:14" x14ac:dyDescent="0.2">
      <c r="A105" s="84">
        <v>38299</v>
      </c>
      <c r="B105" s="85">
        <v>1.0245901639344357E-2</v>
      </c>
      <c r="C105" s="85">
        <v>3.9476870913053963E-2</v>
      </c>
      <c r="D105" s="85">
        <v>6.5558633425669255E-2</v>
      </c>
      <c r="E105" s="85">
        <v>4.8704663212435051E-2</v>
      </c>
      <c r="F105" s="85">
        <v>4.9627791563278123E-4</v>
      </c>
      <c r="G105" s="85">
        <v>4.6766435061464495E-2</v>
      </c>
      <c r="H105" s="85">
        <v>1.2323943661971981E-2</v>
      </c>
      <c r="I105" s="85">
        <v>-2.5440313111546042E-2</v>
      </c>
      <c r="J105" s="85">
        <v>1.6647531572904883E-2</v>
      </c>
      <c r="K105" s="85">
        <v>-3.9608574091333226E-3</v>
      </c>
      <c r="L105" s="85">
        <v>-2.2091656874265508E-2</v>
      </c>
      <c r="M105" s="85">
        <v>2.992125984251981E-2</v>
      </c>
      <c r="N105" s="86">
        <f t="shared" si="3"/>
        <v>1.8220724154170975E-2</v>
      </c>
    </row>
    <row r="106" spans="1:14" x14ac:dyDescent="0.2">
      <c r="A106" s="84">
        <v>38292</v>
      </c>
      <c r="B106" s="85">
        <v>-1.359026369168348E-2</v>
      </c>
      <c r="C106" s="85">
        <v>-2.1901211556384137E-2</v>
      </c>
      <c r="D106" s="85">
        <v>-0.10441941074523386</v>
      </c>
      <c r="E106" s="85">
        <v>-4.1749011857707408E-2</v>
      </c>
      <c r="F106" s="85">
        <v>1.4880952380953438E-3</v>
      </c>
      <c r="G106" s="85">
        <v>4.5953535869287521E-3</v>
      </c>
      <c r="H106" s="85">
        <v>-1.8498023715415091E-2</v>
      </c>
      <c r="I106" s="85">
        <v>-1.6064257028112428E-2</v>
      </c>
      <c r="J106" s="85">
        <v>1.1669489930359545E-2</v>
      </c>
      <c r="K106" s="85">
        <v>4.9356725146198821E-2</v>
      </c>
      <c r="L106" s="85">
        <v>-3.3886085075702899E-2</v>
      </c>
      <c r="M106" s="85">
        <v>-1.6819571865443472E-2</v>
      </c>
      <c r="N106" s="86">
        <f t="shared" si="3"/>
        <v>-1.6651514302841692E-2</v>
      </c>
    </row>
    <row r="107" spans="1:14" x14ac:dyDescent="0.2">
      <c r="A107" s="84">
        <v>38285</v>
      </c>
      <c r="B107" s="85">
        <v>-1.2954966070326979E-2</v>
      </c>
      <c r="C107" s="85">
        <v>-2.6202953787517691E-2</v>
      </c>
      <c r="D107" s="85">
        <v>-0.1011127237542333</v>
      </c>
      <c r="E107" s="85">
        <v>-4.8981696313482592E-3</v>
      </c>
      <c r="F107" s="85">
        <v>-7.6770678553739535E-2</v>
      </c>
      <c r="G107" s="85">
        <v>-1.9059720457433316E-2</v>
      </c>
      <c r="H107" s="85">
        <v>-3.8820876288659711E-2</v>
      </c>
      <c r="I107" s="85">
        <v>0.10367346938775501</v>
      </c>
      <c r="J107" s="85">
        <v>-4.9488372093023147E-2</v>
      </c>
      <c r="K107" s="85">
        <v>1.0477039679001265E-2</v>
      </c>
      <c r="L107" s="85">
        <v>-5.1990049751243883E-2</v>
      </c>
      <c r="M107" s="85">
        <v>-6.9725246241575944E-2</v>
      </c>
      <c r="N107" s="86">
        <f t="shared" si="3"/>
        <v>-2.8072770630195459E-2</v>
      </c>
    </row>
    <row r="108" spans="1:14" x14ac:dyDescent="0.2">
      <c r="A108" s="84">
        <v>38278</v>
      </c>
      <c r="B108" s="85">
        <v>-2.0625000000000001E-2</v>
      </c>
      <c r="C108" s="85">
        <v>-5.4060665362035243E-2</v>
      </c>
      <c r="D108" s="85">
        <v>-1.0226049515608016E-2</v>
      </c>
      <c r="E108" s="85">
        <v>-1.5544041450777257E-2</v>
      </c>
      <c r="F108" s="85">
        <v>1.93133047210301E-2</v>
      </c>
      <c r="G108" s="85">
        <v>-2.9274611398963812E-2</v>
      </c>
      <c r="H108" s="85">
        <v>5.681246857717448E-2</v>
      </c>
      <c r="I108" s="85">
        <v>-1.9970414201183395E-2</v>
      </c>
      <c r="J108" s="85">
        <v>-5.4218046584458834E-2</v>
      </c>
      <c r="K108" s="85">
        <v>-7.2799470549305134E-3</v>
      </c>
      <c r="L108" s="85">
        <v>-5.5103647336657069E-2</v>
      </c>
      <c r="M108" s="85">
        <v>-1.0866536639732582E-2</v>
      </c>
      <c r="N108" s="86">
        <f t="shared" si="3"/>
        <v>-1.675359885384518E-2</v>
      </c>
    </row>
    <row r="109" spans="1:14" x14ac:dyDescent="0.2">
      <c r="A109" s="84">
        <v>38271</v>
      </c>
      <c r="B109" s="85">
        <v>-4.4671346522017208E-3</v>
      </c>
      <c r="C109" s="85">
        <v>-3.3617791569692357E-2</v>
      </c>
      <c r="D109" s="85">
        <v>9.7879282218595876E-3</v>
      </c>
      <c r="E109" s="85">
        <v>1.2894736842105292E-2</v>
      </c>
      <c r="F109" s="85">
        <v>1.3157894736842035E-2</v>
      </c>
      <c r="G109" s="85">
        <v>3.3893781692020397E-2</v>
      </c>
      <c r="H109" s="85">
        <v>-1.7443704408499627E-3</v>
      </c>
      <c r="I109" s="85">
        <v>-5.8490566037735836E-2</v>
      </c>
      <c r="J109" s="85">
        <v>-1.6556291390728006E-3</v>
      </c>
      <c r="K109" s="85">
        <v>1.0444444444444478E-2</v>
      </c>
      <c r="L109" s="85">
        <v>3.8878089419605022E-3</v>
      </c>
      <c r="M109" s="85">
        <v>5.3521126760562865E-3</v>
      </c>
      <c r="N109" s="86">
        <f t="shared" si="3"/>
        <v>-8.7973202368867487E-4</v>
      </c>
    </row>
    <row r="110" spans="1:14" x14ac:dyDescent="0.2">
      <c r="A110" s="84">
        <v>38264</v>
      </c>
      <c r="B110" s="85">
        <v>-7.478632478632341E-3</v>
      </c>
      <c r="C110" s="85">
        <v>-2.4083489430023475E-3</v>
      </c>
      <c r="D110" s="85">
        <v>1.5078082929456116E-2</v>
      </c>
      <c r="E110" s="85">
        <v>-2.3642504546635634E-2</v>
      </c>
      <c r="F110" s="85">
        <v>5.1948051948058627E-4</v>
      </c>
      <c r="G110" s="85">
        <v>2.3489932885905951E-2</v>
      </c>
      <c r="H110" s="85">
        <v>1.5885623510722757E-2</v>
      </c>
      <c r="I110" s="85">
        <v>4.8096192384770031E-3</v>
      </c>
      <c r="J110" s="85">
        <v>1.2437810945271632E-3</v>
      </c>
      <c r="K110" s="85">
        <v>-5.7180558610072652E-3</v>
      </c>
      <c r="L110" s="85">
        <v>8.0221300138312301E-3</v>
      </c>
      <c r="M110" s="85">
        <v>7.5651442981228278E-3</v>
      </c>
      <c r="N110" s="86">
        <f t="shared" si="3"/>
        <v>3.1138543884371706E-3</v>
      </c>
    </row>
    <row r="111" spans="1:14" x14ac:dyDescent="0.2">
      <c r="A111" s="84">
        <v>38257</v>
      </c>
      <c r="B111" s="85">
        <v>-1.2917115177610849E-3</v>
      </c>
      <c r="C111" s="85">
        <v>-1.5289699570815496E-2</v>
      </c>
      <c r="D111" s="85">
        <v>1.4323607427055629E-2</v>
      </c>
      <c r="E111" s="85">
        <v>-6.3863757317720315E-3</v>
      </c>
      <c r="F111" s="85">
        <v>-2.5960539979231756E-3</v>
      </c>
      <c r="G111" s="85">
        <v>1.7402269861286346E-2</v>
      </c>
      <c r="H111" s="85">
        <v>1.6262705238467401E-2</v>
      </c>
      <c r="I111" s="85">
        <v>-3.3905065815716062E-2</v>
      </c>
      <c r="J111" s="85">
        <v>4.6790890269151175E-2</v>
      </c>
      <c r="K111" s="85">
        <v>1.5483300154832902E-2</v>
      </c>
      <c r="L111" s="85">
        <v>-5.2140504939626187E-3</v>
      </c>
      <c r="M111" s="85">
        <v>3.0589543937709074E-3</v>
      </c>
      <c r="N111" s="86">
        <f t="shared" si="3"/>
        <v>4.0532308513844912E-3</v>
      </c>
    </row>
    <row r="112" spans="1:14" x14ac:dyDescent="0.2">
      <c r="A112" s="84">
        <v>38250</v>
      </c>
      <c r="B112" s="85">
        <v>-2.3712006898037874E-3</v>
      </c>
      <c r="C112" s="85">
        <v>-1.0623808226641218E-2</v>
      </c>
      <c r="D112" s="85">
        <v>-1.2029288702928853E-2</v>
      </c>
      <c r="E112" s="85">
        <v>1.8211033743974259E-2</v>
      </c>
      <c r="F112" s="85">
        <v>-2.7589796980739267E-2</v>
      </c>
      <c r="G112" s="85">
        <v>-1.4625681705503268E-2</v>
      </c>
      <c r="H112" s="85">
        <v>3.0773965225439071E-4</v>
      </c>
      <c r="I112" s="85">
        <v>-5.3674649050371448E-2</v>
      </c>
      <c r="J112" s="85">
        <v>-1.0482594936708889E-2</v>
      </c>
      <c r="K112" s="85">
        <v>-6.752341537791251E-3</v>
      </c>
      <c r="L112" s="85">
        <v>-1.2137931034482685E-2</v>
      </c>
      <c r="M112" s="85">
        <v>5.2675353479345599E-3</v>
      </c>
      <c r="N112" s="86">
        <f t="shared" si="3"/>
        <v>-1.0541748676733955E-2</v>
      </c>
    </row>
    <row r="113" spans="1:14" x14ac:dyDescent="0.2">
      <c r="A113" s="84">
        <v>38243</v>
      </c>
      <c r="B113" s="85">
        <v>9.7234226447708849E-3</v>
      </c>
      <c r="C113" s="85">
        <v>1.4592511013215903E-2</v>
      </c>
      <c r="D113" s="85">
        <v>-3.4939121228163006E-2</v>
      </c>
      <c r="E113" s="85">
        <v>2.9721199368753171E-2</v>
      </c>
      <c r="F113" s="85">
        <v>2.2483940042826722E-2</v>
      </c>
      <c r="G113" s="85">
        <v>-2.515723270440251E-3</v>
      </c>
      <c r="H113" s="85">
        <v>2.4765420704506935E-2</v>
      </c>
      <c r="I113" s="85">
        <v>1.7015706806282616E-2</v>
      </c>
      <c r="J113" s="85">
        <v>2.8382970217869286E-2</v>
      </c>
      <c r="K113" s="85">
        <v>-2.1710526315789513E-2</v>
      </c>
      <c r="L113" s="85">
        <v>0</v>
      </c>
      <c r="M113" s="85">
        <v>2.2338665195808183E-2</v>
      </c>
      <c r="N113" s="86">
        <f t="shared" si="3"/>
        <v>9.1548720983034102E-3</v>
      </c>
    </row>
    <row r="114" spans="1:14" x14ac:dyDescent="0.2">
      <c r="A114" s="84">
        <v>38237</v>
      </c>
      <c r="B114" s="85">
        <v>-1.1769741065696504E-2</v>
      </c>
      <c r="C114" s="85">
        <v>5.9701492537314049E-3</v>
      </c>
      <c r="D114" s="85">
        <v>0.15633571036752603</v>
      </c>
      <c r="E114" s="85">
        <v>1.8135376756066357E-2</v>
      </c>
      <c r="F114" s="85">
        <v>1.884816753926688E-2</v>
      </c>
      <c r="G114" s="85">
        <v>3.7831021437577661E-3</v>
      </c>
      <c r="H114" s="85">
        <v>6.1543080156107877E-3</v>
      </c>
      <c r="I114" s="85">
        <v>5.7486057486057396E-2</v>
      </c>
      <c r="J114" s="85">
        <v>2.9154518950437414E-2</v>
      </c>
      <c r="K114" s="85">
        <v>3.7659717552118277E-2</v>
      </c>
      <c r="L114" s="85">
        <v>1.6755096341802833E-3</v>
      </c>
      <c r="M114" s="85">
        <v>1.6725114647963224E-2</v>
      </c>
      <c r="N114" s="86">
        <f t="shared" si="3"/>
        <v>2.8346499273418275E-2</v>
      </c>
    </row>
    <row r="115" spans="1:14" x14ac:dyDescent="0.2">
      <c r="A115" s="84">
        <v>38229</v>
      </c>
      <c r="B115" s="85">
        <v>1.3209181463837094E-2</v>
      </c>
      <c r="C115" s="85">
        <v>-2.7245751281359532E-2</v>
      </c>
      <c r="D115" s="85">
        <v>2.371916508538896E-2</v>
      </c>
      <c r="E115" s="85">
        <v>6.0210737581536389E-3</v>
      </c>
      <c r="F115" s="85">
        <v>-5.190133607399805E-2</v>
      </c>
      <c r="G115" s="85">
        <v>1.2562814070353756E-3</v>
      </c>
      <c r="H115" s="85">
        <v>1.6410562434730602E-2</v>
      </c>
      <c r="I115" s="85">
        <v>-9.3306288032454221E-2</v>
      </c>
      <c r="J115" s="85">
        <v>-3.6827195467422191E-2</v>
      </c>
      <c r="K115" s="85">
        <v>4.0181464679196255E-2</v>
      </c>
      <c r="L115" s="85">
        <v>-5.2969054920545267E-3</v>
      </c>
      <c r="M115" s="85">
        <v>1.8572565667285268E-3</v>
      </c>
      <c r="N115" s="86">
        <f t="shared" si="3"/>
        <v>-9.3268742460181717E-3</v>
      </c>
    </row>
    <row r="116" spans="1:14" x14ac:dyDescent="0.2">
      <c r="A116" s="84">
        <v>38222</v>
      </c>
      <c r="B116" s="85">
        <v>-1.0044881384911331E-2</v>
      </c>
      <c r="C116" s="85">
        <v>-4.603438713255692E-2</v>
      </c>
      <c r="D116" s="85">
        <v>1.3438368860055672E-2</v>
      </c>
      <c r="E116" s="85">
        <v>-1.1471321695760595E-2</v>
      </c>
      <c r="F116" s="85">
        <v>-1.1924119241192299E-2</v>
      </c>
      <c r="G116" s="85">
        <v>-3.2622333751568533E-3</v>
      </c>
      <c r="H116" s="85">
        <v>-3.4199324820196608E-2</v>
      </c>
      <c r="I116" s="85">
        <v>6.6219239373601635E-2</v>
      </c>
      <c r="J116" s="85">
        <v>1.1176470588235343E-2</v>
      </c>
      <c r="K116" s="85">
        <v>-4.132917964693672E-2</v>
      </c>
      <c r="L116" s="85">
        <v>-3.3071748878923724E-2</v>
      </c>
      <c r="M116" s="85">
        <v>-2.9661016949152463E-2</v>
      </c>
      <c r="N116" s="86">
        <f t="shared" si="3"/>
        <v>-1.0847011191907905E-2</v>
      </c>
    </row>
    <row r="117" spans="1:14" x14ac:dyDescent="0.2">
      <c r="A117" s="84">
        <v>38215</v>
      </c>
      <c r="B117" s="85">
        <v>-4.9654576856649202E-3</v>
      </c>
      <c r="C117" s="85">
        <v>-8.430232558139461E-3</v>
      </c>
      <c r="D117" s="85">
        <v>5.9442158207589912E-3</v>
      </c>
      <c r="E117" s="85">
        <v>-2.2452068617557996E-2</v>
      </c>
      <c r="F117" s="85">
        <v>9.8738343390016858E-3</v>
      </c>
      <c r="G117" s="85">
        <v>-2.6938569989929495E-2</v>
      </c>
      <c r="H117" s="85">
        <v>-8.5106382978723527E-3</v>
      </c>
      <c r="I117" s="85">
        <v>-5.4133445237096067E-2</v>
      </c>
      <c r="J117" s="85">
        <v>-2.462672096179952E-2</v>
      </c>
      <c r="K117" s="85">
        <v>2.2746967071057389E-2</v>
      </c>
      <c r="L117" s="85">
        <v>1.6231884057971158E-2</v>
      </c>
      <c r="M117" s="85">
        <v>9.8253275109170257E-3</v>
      </c>
      <c r="N117" s="86">
        <f t="shared" si="3"/>
        <v>-7.1195753790294636E-3</v>
      </c>
    </row>
    <row r="118" spans="1:14" x14ac:dyDescent="0.2">
      <c r="A118" s="84">
        <v>38208</v>
      </c>
      <c r="B118" s="85">
        <v>-1.2367107832501611E-2</v>
      </c>
      <c r="C118" s="85">
        <v>-6.0686015831134532E-2</v>
      </c>
      <c r="D118" s="85">
        <v>-7.4999999999999997E-2</v>
      </c>
      <c r="E118" s="85">
        <v>-4.9032258064516054E-2</v>
      </c>
      <c r="F118" s="85">
        <v>-4.236827810972299E-2</v>
      </c>
      <c r="G118" s="85">
        <v>-4.6054333764553701E-2</v>
      </c>
      <c r="H118" s="85">
        <v>-2.0232985898221867E-2</v>
      </c>
      <c r="I118" s="85">
        <v>-6.211180124223592E-2</v>
      </c>
      <c r="J118" s="85">
        <v>-6.0238568588469099E-2</v>
      </c>
      <c r="K118" s="85">
        <v>-1.8851938148697345E-2</v>
      </c>
      <c r="L118" s="85">
        <v>-5.8185966913861908E-2</v>
      </c>
      <c r="M118" s="85">
        <v>-2.4594594594594454E-2</v>
      </c>
      <c r="N118" s="86">
        <f t="shared" si="3"/>
        <v>-4.4143654082375784E-2</v>
      </c>
    </row>
    <row r="119" spans="1:14" x14ac:dyDescent="0.2">
      <c r="A119" s="84">
        <v>38201</v>
      </c>
      <c r="B119" s="85">
        <v>-5.0527240773287074E-3</v>
      </c>
      <c r="C119" s="85">
        <v>-3.7765293383270948E-2</v>
      </c>
      <c r="D119" s="85">
        <v>6.3882063882063633E-3</v>
      </c>
      <c r="E119" s="85">
        <v>-3.2564450474898976E-3</v>
      </c>
      <c r="F119" s="85">
        <v>7.3737946681793343E-3</v>
      </c>
      <c r="G119" s="85">
        <v>-2.1155410903173189E-2</v>
      </c>
      <c r="H119" s="85">
        <v>-2.0025031289111372E-2</v>
      </c>
      <c r="I119" s="85">
        <v>-1.0879848628193023E-2</v>
      </c>
      <c r="J119" s="85">
        <v>-9.9428813200762578E-3</v>
      </c>
      <c r="K119" s="85">
        <v>2.0077720207253957E-2</v>
      </c>
      <c r="L119" s="85">
        <v>3.6038764385220912E-2</v>
      </c>
      <c r="M119" s="85">
        <v>-3.0202272097534011E-2</v>
      </c>
      <c r="N119" s="86">
        <f t="shared" si="3"/>
        <v>-5.700118424776403E-3</v>
      </c>
    </row>
    <row r="120" spans="1:14" x14ac:dyDescent="0.2">
      <c r="A120" s="84">
        <v>38194</v>
      </c>
      <c r="B120" s="85">
        <v>-1.3247957606535743E-2</v>
      </c>
      <c r="C120" s="85">
        <v>6.2925721699643278E-2</v>
      </c>
      <c r="D120" s="85">
        <v>8.642578125E-2</v>
      </c>
      <c r="E120" s="85">
        <v>-2.4503130955620955E-3</v>
      </c>
      <c r="F120" s="85">
        <v>8.3896396396396344E-2</v>
      </c>
      <c r="G120" s="85">
        <v>3.4358548074258755E-2</v>
      </c>
      <c r="H120" s="85">
        <v>2.2828863346104677E-2</v>
      </c>
      <c r="I120" s="85">
        <v>3.4911525585844094E-2</v>
      </c>
      <c r="J120" s="85">
        <v>5.405982905982909E-2</v>
      </c>
      <c r="K120" s="85">
        <v>3.7037037037036979E-2</v>
      </c>
      <c r="L120" s="85">
        <v>3.1862028646594487E-2</v>
      </c>
      <c r="M120" s="85">
        <v>0.04</v>
      </c>
      <c r="N120" s="86">
        <f t="shared" si="3"/>
        <v>3.9383955032800823E-2</v>
      </c>
    </row>
    <row r="121" spans="1:14" x14ac:dyDescent="0.2">
      <c r="A121" s="84">
        <v>38187</v>
      </c>
      <c r="B121" s="85">
        <v>-2.0810024614007605E-2</v>
      </c>
      <c r="C121" s="85">
        <v>-9.6124504119621701E-2</v>
      </c>
      <c r="D121" s="85">
        <v>-1.348314606741674E-3</v>
      </c>
      <c r="E121" s="85">
        <v>-2.2652838427947519E-2</v>
      </c>
      <c r="F121" s="85">
        <v>-9.6623376623376611E-2</v>
      </c>
      <c r="G121" s="85">
        <v>-2.143048486471999E-2</v>
      </c>
      <c r="H121" s="85">
        <v>5.3066958014671428E-3</v>
      </c>
      <c r="I121" s="85">
        <v>-3.6506469500924177E-2</v>
      </c>
      <c r="J121" s="85">
        <v>-2.69612811676464E-2</v>
      </c>
      <c r="K121" s="85">
        <v>3.3469387755101998E-2</v>
      </c>
      <c r="L121" s="85">
        <v>-8.2152974504249299E-3</v>
      </c>
      <c r="M121" s="85">
        <v>-1.9230769230769162E-3</v>
      </c>
      <c r="N121" s="86">
        <f t="shared" si="3"/>
        <v>-2.4484965395159864E-2</v>
      </c>
    </row>
    <row r="122" spans="1:14" x14ac:dyDescent="0.2">
      <c r="A122" s="84">
        <v>38180</v>
      </c>
      <c r="B122" s="85">
        <v>-5.712979890310832E-3</v>
      </c>
      <c r="C122" s="85">
        <v>-5.1316677920324127E-2</v>
      </c>
      <c r="D122" s="85">
        <v>0.11431143114311437</v>
      </c>
      <c r="E122" s="85">
        <v>4.1329237643116468E-2</v>
      </c>
      <c r="F122" s="85">
        <v>3.1627372052904112E-2</v>
      </c>
      <c r="G122" s="85">
        <v>-1.8067341910758428E-2</v>
      </c>
      <c r="H122" s="85">
        <v>2.0183201366247516E-2</v>
      </c>
      <c r="I122" s="85">
        <v>7.0503597122302031E-2</v>
      </c>
      <c r="J122" s="85">
        <v>-1.9375E-2</v>
      </c>
      <c r="K122" s="85">
        <v>3.8704581358609769E-2</v>
      </c>
      <c r="L122" s="85">
        <v>5.7126535275635604E-2</v>
      </c>
      <c r="M122" s="85">
        <v>2.9727497935590375E-2</v>
      </c>
      <c r="N122" s="86">
        <f t="shared" si="3"/>
        <v>2.5753454514677237E-2</v>
      </c>
    </row>
    <row r="123" spans="1:14" x14ac:dyDescent="0.2">
      <c r="A123" s="84">
        <v>38174</v>
      </c>
      <c r="B123" s="85">
        <v>-1.6777752240864086E-2</v>
      </c>
      <c r="C123" s="85">
        <v>6.6192170818505369E-2</v>
      </c>
      <c r="D123" s="85">
        <v>1.4135702746365109E-2</v>
      </c>
      <c r="E123" s="85">
        <v>-4.2906945561811405E-3</v>
      </c>
      <c r="F123" s="85">
        <v>3.9018952062430223E-2</v>
      </c>
      <c r="G123" s="85">
        <v>2.6763311959855152E-2</v>
      </c>
      <c r="H123" s="85">
        <v>3.348044437680997E-3</v>
      </c>
      <c r="I123" s="85">
        <v>4.2562724014336917E-2</v>
      </c>
      <c r="J123" s="85">
        <v>6.2247716167410205E-2</v>
      </c>
      <c r="K123" s="85">
        <v>-1.7490494296578007E-2</v>
      </c>
      <c r="L123" s="85">
        <v>2.9991894082680437E-2</v>
      </c>
      <c r="M123" s="85">
        <v>-2.7265437048917263E-2</v>
      </c>
      <c r="N123" s="86">
        <f t="shared" si="3"/>
        <v>1.8203011512226992E-2</v>
      </c>
    </row>
    <row r="124" spans="1:14" x14ac:dyDescent="0.2">
      <c r="A124" s="84">
        <v>38166</v>
      </c>
      <c r="B124" s="85">
        <v>1.168770453482848E-3</v>
      </c>
      <c r="C124" s="85">
        <v>-2.5033377837116122E-2</v>
      </c>
      <c r="D124" s="85">
        <v>4.1816009557945177E-2</v>
      </c>
      <c r="E124" s="85">
        <v>1.8583355776999655E-2</v>
      </c>
      <c r="F124" s="85">
        <v>5.8476394849785507E-2</v>
      </c>
      <c r="G124" s="85">
        <v>3.3939723051859882E-2</v>
      </c>
      <c r="H124" s="85">
        <v>-1.3650841801912117E-3</v>
      </c>
      <c r="I124" s="85">
        <v>7.0477009024495052E-2</v>
      </c>
      <c r="J124" s="85">
        <v>3.3400000000000096E-2</v>
      </c>
      <c r="K124" s="85">
        <v>-2.7476780185758498E-2</v>
      </c>
      <c r="L124" s="85">
        <v>2.2822665267576259E-2</v>
      </c>
      <c r="M124" s="85">
        <v>-1.9785655399835123E-2</v>
      </c>
      <c r="N124" s="86">
        <f t="shared" si="3"/>
        <v>1.7251919198270294E-2</v>
      </c>
    </row>
    <row r="125" spans="1:14" x14ac:dyDescent="0.2">
      <c r="A125" s="84">
        <v>38159</v>
      </c>
      <c r="B125" s="85">
        <v>2.2647676862012522E-2</v>
      </c>
      <c r="C125" s="85">
        <v>-1.3693940431359186E-2</v>
      </c>
      <c r="D125" s="85">
        <v>-3.0581039755351758E-2</v>
      </c>
      <c r="E125" s="85">
        <v>1.5864621893177944E-3</v>
      </c>
      <c r="F125" s="85">
        <v>-1.2671059300557563E-2</v>
      </c>
      <c r="G125" s="85">
        <v>-2.3634453781511411E-3</v>
      </c>
      <c r="H125" s="85">
        <v>-1.5036452004860368E-2</v>
      </c>
      <c r="I125" s="85">
        <v>3.2115616218384435E-3</v>
      </c>
      <c r="J125" s="85">
        <v>1.4902264370040497E-2</v>
      </c>
      <c r="K125" s="85">
        <v>-1.3330680461599576E-2</v>
      </c>
      <c r="L125" s="85">
        <v>-2.6417030007694353E-2</v>
      </c>
      <c r="M125" s="85">
        <v>6.4479955144378653E-3</v>
      </c>
      <c r="N125" s="86">
        <f t="shared" si="3"/>
        <v>-5.4414738984939022E-3</v>
      </c>
    </row>
    <row r="126" spans="1:14" x14ac:dyDescent="0.2">
      <c r="A126" s="84">
        <v>38152</v>
      </c>
      <c r="B126" s="85">
        <v>-1.2557077625570678E-2</v>
      </c>
      <c r="C126" s="85">
        <v>-3.8181187087816815E-3</v>
      </c>
      <c r="D126" s="85">
        <v>-4.022082018927442E-2</v>
      </c>
      <c r="E126" s="85">
        <v>-1.5311510031679076E-2</v>
      </c>
      <c r="F126" s="85">
        <v>-1.5400410677618437E-3</v>
      </c>
      <c r="G126" s="85">
        <v>-2.0005264543300982E-2</v>
      </c>
      <c r="H126" s="85">
        <v>2.3130300693908978E-2</v>
      </c>
      <c r="I126" s="85">
        <v>8.0032012805131281E-4</v>
      </c>
      <c r="J126" s="85">
        <v>-1.5064836003051085E-2</v>
      </c>
      <c r="K126" s="85">
        <v>2.0367009477717302E-2</v>
      </c>
      <c r="L126" s="85">
        <v>2.897787144362507E-3</v>
      </c>
      <c r="M126" s="85">
        <v>-2.7855153203342642E-2</v>
      </c>
      <c r="N126" s="86">
        <f t="shared" si="3"/>
        <v>-7.4314503273935255E-3</v>
      </c>
    </row>
    <row r="127" spans="1:14" x14ac:dyDescent="0.2">
      <c r="A127" s="84">
        <v>38145</v>
      </c>
      <c r="B127" s="85">
        <v>-3.6994219653178062E-3</v>
      </c>
      <c r="C127" s="85">
        <v>9.7560975609756184E-3</v>
      </c>
      <c r="D127" s="85">
        <v>-1.5201314708299107E-2</v>
      </c>
      <c r="E127" s="85">
        <v>-3.2171581769436908E-2</v>
      </c>
      <c r="F127" s="85">
        <v>-2.8277634961439646E-2</v>
      </c>
      <c r="G127" s="85">
        <v>1.5310233682514163E-2</v>
      </c>
      <c r="H127" s="85">
        <v>-7.083647324792719E-3</v>
      </c>
      <c r="I127" s="85">
        <v>-5.2379048380647775E-2</v>
      </c>
      <c r="J127" s="85">
        <v>3.0590513068731839E-2</v>
      </c>
      <c r="K127" s="85">
        <v>-7.9644268774703542E-2</v>
      </c>
      <c r="L127" s="85">
        <v>-2.6792750197005555E-2</v>
      </c>
      <c r="M127" s="85">
        <v>-8.022922636103158E-3</v>
      </c>
      <c r="N127" s="86">
        <f t="shared" si="3"/>
        <v>-1.6467978867127048E-2</v>
      </c>
    </row>
    <row r="128" spans="1:14" x14ac:dyDescent="0.2">
      <c r="A128" s="84">
        <v>38139</v>
      </c>
      <c r="B128" s="85">
        <v>2.7384543977720943E-2</v>
      </c>
      <c r="C128" s="85">
        <v>3.1055900621117516E-3</v>
      </c>
      <c r="D128" s="85">
        <v>-8.7609511889861214E-3</v>
      </c>
      <c r="E128" s="85">
        <v>-3.8781163434903343E-3</v>
      </c>
      <c r="F128" s="85">
        <v>1.0582010582010692E-2</v>
      </c>
      <c r="G128" s="85">
        <v>-1.3756613756613634E-2</v>
      </c>
      <c r="H128" s="85">
        <v>-1.7455980570734497E-2</v>
      </c>
      <c r="I128" s="85">
        <v>-2.1097046413502962E-3</v>
      </c>
      <c r="J128" s="85">
        <v>-3.7572797294758153E-3</v>
      </c>
      <c r="K128" s="85">
        <v>-1.674898003006231E-2</v>
      </c>
      <c r="L128" s="85">
        <v>-4.5883940620781161E-3</v>
      </c>
      <c r="M128" s="85">
        <v>-6.9324090121315463E-3</v>
      </c>
      <c r="N128" s="86">
        <f t="shared" si="3"/>
        <v>-3.0763570594232736E-3</v>
      </c>
    </row>
    <row r="129" spans="1:14" x14ac:dyDescent="0.2">
      <c r="A129" s="84">
        <v>38131</v>
      </c>
      <c r="B129" s="85">
        <v>-1.5812062344703337E-3</v>
      </c>
      <c r="C129" s="85">
        <v>-3.7839697282421314E-3</v>
      </c>
      <c r="D129" s="85">
        <v>3.1144781144781142E-2</v>
      </c>
      <c r="E129" s="85">
        <v>-3.3370411568408587E-3</v>
      </c>
      <c r="F129" s="85">
        <v>1.4136125654450327E-2</v>
      </c>
      <c r="G129" s="85">
        <v>-1.1802575107296098E-2</v>
      </c>
      <c r="H129" s="85">
        <v>1.8075081106133206E-2</v>
      </c>
      <c r="I129" s="85">
        <v>-2.0718816067653245E-2</v>
      </c>
      <c r="J129" s="85">
        <v>9.0514802941730199E-3</v>
      </c>
      <c r="K129" s="85">
        <v>5.2413190652982333E-3</v>
      </c>
      <c r="L129" s="85">
        <v>-2.2776572668112838E-2</v>
      </c>
      <c r="M129" s="85">
        <v>1.8324607329842868E-2</v>
      </c>
      <c r="N129" s="86">
        <f t="shared" si="3"/>
        <v>2.6644344693386077E-3</v>
      </c>
    </row>
    <row r="130" spans="1:14" x14ac:dyDescent="0.2">
      <c r="A130" s="84">
        <v>38124</v>
      </c>
      <c r="B130" s="85">
        <v>-4.5701357466063408E-2</v>
      </c>
      <c r="C130" s="85">
        <v>-5.9392265193370264E-2</v>
      </c>
      <c r="D130" s="85">
        <v>-0.23795918367346935</v>
      </c>
      <c r="E130" s="85">
        <v>-6.8359375000000111E-2</v>
      </c>
      <c r="F130" s="85">
        <v>-6.6081569437274168E-2</v>
      </c>
      <c r="G130" s="85">
        <v>-2.0629750271444203E-2</v>
      </c>
      <c r="H130" s="85">
        <v>-2.6251896813353603E-2</v>
      </c>
      <c r="I130" s="85">
        <v>-1.9430051813471461E-2</v>
      </c>
      <c r="J130" s="85">
        <v>-1.8314333769388846E-2</v>
      </c>
      <c r="K130" s="85">
        <v>-2.6069954377581084E-3</v>
      </c>
      <c r="L130" s="85">
        <v>-4.4950055493895635E-2</v>
      </c>
      <c r="M130" s="85">
        <v>-3.370465581262494E-2</v>
      </c>
      <c r="N130" s="86">
        <f t="shared" ref="N130:N157" si="4">AVERAGE(B130:M130)</f>
        <v>-5.361512418184284E-2</v>
      </c>
    </row>
    <row r="131" spans="1:14" x14ac:dyDescent="0.2">
      <c r="A131" s="84">
        <v>38117</v>
      </c>
      <c r="B131" s="85">
        <v>-4.7415836889521668E-3</v>
      </c>
      <c r="C131" s="85">
        <v>-2.8634361233480066E-2</v>
      </c>
      <c r="D131" s="85">
        <v>-4.98125334761651E-2</v>
      </c>
      <c r="E131" s="85">
        <v>-8.6852351003293693E-3</v>
      </c>
      <c r="F131" s="85">
        <v>1.3819789939192972E-2</v>
      </c>
      <c r="G131" s="85">
        <v>-1.1640798226164151E-2</v>
      </c>
      <c r="H131" s="85">
        <v>-8.7268193860059462E-3</v>
      </c>
      <c r="I131" s="85">
        <v>1.761338617349173E-2</v>
      </c>
      <c r="J131" s="85">
        <v>-8.5665334094803258E-3</v>
      </c>
      <c r="K131" s="85">
        <v>2.5702461337399507E-2</v>
      </c>
      <c r="L131" s="85">
        <v>-4.6484601975597117E-3</v>
      </c>
      <c r="M131" s="85">
        <v>-6.7986993792490402E-3</v>
      </c>
      <c r="N131" s="86">
        <f t="shared" si="4"/>
        <v>-6.2599488872751392E-3</v>
      </c>
    </row>
    <row r="132" spans="1:14" x14ac:dyDescent="0.2">
      <c r="A132" s="84">
        <v>38110</v>
      </c>
      <c r="B132" s="85">
        <v>5.4787994282992081E-3</v>
      </c>
      <c r="C132" s="85">
        <v>-3.0234315948601709E-2</v>
      </c>
      <c r="D132" s="85">
        <v>3.551296505073287E-2</v>
      </c>
      <c r="E132" s="85">
        <v>1.5105740181267091E-3</v>
      </c>
      <c r="F132" s="85">
        <v>-1.2540894220283594E-2</v>
      </c>
      <c r="G132" s="85">
        <v>2.2994952327537899E-2</v>
      </c>
      <c r="H132" s="85">
        <v>2.1380286118534819E-2</v>
      </c>
      <c r="I132" s="85">
        <v>-2.9424491562094368E-2</v>
      </c>
      <c r="J132" s="85">
        <v>-2.6881720430107503E-3</v>
      </c>
      <c r="K132" s="85">
        <v>1.1892121469526229E-2</v>
      </c>
      <c r="L132" s="85">
        <v>2.1307647402218466E-2</v>
      </c>
      <c r="M132" s="85">
        <v>2.8273809523809312E-2</v>
      </c>
      <c r="N132" s="86">
        <f t="shared" si="4"/>
        <v>6.1219401303995906E-3</v>
      </c>
    </row>
    <row r="133" spans="1:14" x14ac:dyDescent="0.2">
      <c r="A133" s="84">
        <v>38103</v>
      </c>
      <c r="B133" s="85">
        <v>3.5773513385453537E-2</v>
      </c>
      <c r="C133" s="85">
        <v>1.1691348402182999E-3</v>
      </c>
      <c r="D133" s="85">
        <v>3.1573217201959602E-2</v>
      </c>
      <c r="E133" s="85">
        <v>1.5082956259426794E-2</v>
      </c>
      <c r="F133" s="85">
        <v>1.0491441192711282E-2</v>
      </c>
      <c r="G133" s="85">
        <v>3.0701754385965119E-2</v>
      </c>
      <c r="H133" s="85">
        <v>7.3880252424196602E-3</v>
      </c>
      <c r="I133" s="85">
        <v>-0.24921979491752122</v>
      </c>
      <c r="J133" s="85">
        <v>-1.0589141316904027E-2</v>
      </c>
      <c r="K133" s="85">
        <v>2.3084994753410637E-3</v>
      </c>
      <c r="L133" s="85">
        <v>-9.6884824235495826E-2</v>
      </c>
      <c r="M133" s="85">
        <v>-2.0260492040521383E-3</v>
      </c>
      <c r="N133" s="86">
        <f t="shared" si="4"/>
        <v>-1.8685938974206489E-2</v>
      </c>
    </row>
    <row r="134" spans="1:14" x14ac:dyDescent="0.2">
      <c r="A134" s="84">
        <v>38096</v>
      </c>
      <c r="B134" s="85">
        <v>-4.8032936870997522E-3</v>
      </c>
      <c r="C134" s="85">
        <v>8.6025690930322973E-2</v>
      </c>
      <c r="D134" s="85">
        <v>0.12559366754617418</v>
      </c>
      <c r="E134" s="85">
        <v>3.3878157503714812E-2</v>
      </c>
      <c r="F134" s="85">
        <v>3.0054644808743314E-2</v>
      </c>
      <c r="G134" s="85">
        <v>1.8617021276595702E-2</v>
      </c>
      <c r="H134" s="85">
        <v>7.486631016042633E-3</v>
      </c>
      <c r="I134" s="85">
        <v>8.9073634204275498E-2</v>
      </c>
      <c r="J134" s="85">
        <v>3.1912823506518695E-2</v>
      </c>
      <c r="K134" s="85">
        <v>4.0410385259631587E-2</v>
      </c>
      <c r="L134" s="85">
        <v>7.6582278481012622E-2</v>
      </c>
      <c r="M134" s="85">
        <v>-4.4953596287702902E-2</v>
      </c>
      <c r="N134" s="86">
        <f t="shared" si="4"/>
        <v>4.0823170379852447E-2</v>
      </c>
    </row>
    <row r="135" spans="1:14" x14ac:dyDescent="0.2">
      <c r="A135" s="84">
        <v>38089</v>
      </c>
      <c r="B135" s="85">
        <v>3.217651114686193E-3</v>
      </c>
      <c r="C135" s="85">
        <v>-4.0143369175627108E-2</v>
      </c>
      <c r="D135" s="85">
        <v>-2.9535864978902926E-2</v>
      </c>
      <c r="E135" s="85">
        <v>4.2540960045990284E-2</v>
      </c>
      <c r="F135" s="85">
        <v>-7.4270557029177953E-3</v>
      </c>
      <c r="G135" s="85">
        <v>2.5065274151436112E-2</v>
      </c>
      <c r="H135" s="85">
        <v>-2.5781013042159628E-2</v>
      </c>
      <c r="I135" s="85">
        <v>9.8146128680478562E-3</v>
      </c>
      <c r="J135" s="85">
        <v>2.8285875919290993E-2</v>
      </c>
      <c r="K135" s="85">
        <v>-4.0249547192583446E-4</v>
      </c>
      <c r="L135" s="85">
        <v>-4.0270429159318222E-2</v>
      </c>
      <c r="M135" s="85">
        <v>-3.3404190707561066E-3</v>
      </c>
      <c r="N135" s="86">
        <f t="shared" si="4"/>
        <v>-3.1646893751796821E-3</v>
      </c>
    </row>
    <row r="136" spans="1:14" x14ac:dyDescent="0.2">
      <c r="A136" s="84">
        <v>38082</v>
      </c>
      <c r="B136" s="85">
        <v>3.5509736540664472E-2</v>
      </c>
      <c r="C136" s="85">
        <v>-7.8416728902166444E-3</v>
      </c>
      <c r="D136" s="85">
        <v>3.0434782608695699E-2</v>
      </c>
      <c r="E136" s="85">
        <v>3.556658395368073E-2</v>
      </c>
      <c r="F136" s="85">
        <v>6.3602351683591518E-2</v>
      </c>
      <c r="G136" s="85">
        <v>4.8140601120733484E-2</v>
      </c>
      <c r="H136" s="85">
        <v>-6.849315068493067E-3</v>
      </c>
      <c r="I136" s="85">
        <v>9.2872570194384441E-2</v>
      </c>
      <c r="J136" s="85">
        <v>3.0625343847423547E-2</v>
      </c>
      <c r="K136" s="85">
        <v>1.8119589289309346E-3</v>
      </c>
      <c r="L136" s="85">
        <v>6.8912710566615631E-2</v>
      </c>
      <c r="M136" s="85">
        <v>8.836075563680712E-3</v>
      </c>
      <c r="N136" s="86">
        <f t="shared" si="4"/>
        <v>3.3468477254140955E-2</v>
      </c>
    </row>
    <row r="137" spans="1:14" x14ac:dyDescent="0.2">
      <c r="A137" s="84">
        <v>38075</v>
      </c>
      <c r="B137" s="85">
        <v>1.7477876106194667E-2</v>
      </c>
      <c r="C137" s="85">
        <v>3.8765525028227277E-2</v>
      </c>
      <c r="D137" s="85">
        <v>3.4224097515236807E-2</v>
      </c>
      <c r="E137" s="85">
        <v>4.0468583599573948E-2</v>
      </c>
      <c r="F137" s="85">
        <v>-7.0351758793968378E-3</v>
      </c>
      <c r="G137" s="85">
        <v>9.2345078979343409E-3</v>
      </c>
      <c r="H137" s="85">
        <v>-3.2915360501566404E-3</v>
      </c>
      <c r="I137" s="85">
        <v>-5.5830039525691655E-2</v>
      </c>
      <c r="J137" s="85">
        <v>9.7864768683273429E-3</v>
      </c>
      <c r="K137" s="85">
        <v>-5.0241157556270011E-3</v>
      </c>
      <c r="L137" s="85">
        <v>2.9512893982807986E-2</v>
      </c>
      <c r="M137" s="85">
        <v>-3.3222591362126463E-3</v>
      </c>
      <c r="N137" s="86">
        <f t="shared" si="4"/>
        <v>8.7472362209347985E-3</v>
      </c>
    </row>
    <row r="138" spans="1:14" x14ac:dyDescent="0.2">
      <c r="A138" s="84">
        <v>38068</v>
      </c>
      <c r="B138" s="85">
        <v>1.9569471624265589E-3</v>
      </c>
      <c r="C138" s="85">
        <v>-3.6231884057971064E-2</v>
      </c>
      <c r="D138" s="85">
        <v>-6.3916591115140586E-2</v>
      </c>
      <c r="E138" s="85">
        <v>3.0706243602867112E-3</v>
      </c>
      <c r="F138" s="85">
        <v>-5.4149797570850255E-2</v>
      </c>
      <c r="G138" s="85">
        <v>-6.742114134360766E-3</v>
      </c>
      <c r="H138" s="85">
        <v>-2.4689416574933176E-2</v>
      </c>
      <c r="I138" s="85">
        <v>-4.5002616431187858E-2</v>
      </c>
      <c r="J138" s="85">
        <v>-3.5242290748904725E-4</v>
      </c>
      <c r="K138" s="85">
        <v>-5.3726519894970681E-2</v>
      </c>
      <c r="L138" s="85">
        <v>-2.9780128026718589E-2</v>
      </c>
      <c r="M138" s="85">
        <v>-1.5151515151514694E-3</v>
      </c>
      <c r="N138" s="86">
        <f t="shared" si="4"/>
        <v>-2.5923255892171686E-2</v>
      </c>
    </row>
    <row r="139" spans="1:14" x14ac:dyDescent="0.2">
      <c r="A139" s="84">
        <v>38061</v>
      </c>
      <c r="B139" s="85">
        <v>1.3237847222222321E-2</v>
      </c>
      <c r="C139" s="85">
        <v>-3.2330827067669321E-2</v>
      </c>
      <c r="D139" s="85">
        <v>-5.3268765133171803E-2</v>
      </c>
      <c r="E139" s="85">
        <v>-8.4183673469389042E-3</v>
      </c>
      <c r="F139" s="85">
        <v>-2.0331728196896881E-2</v>
      </c>
      <c r="G139" s="85">
        <v>1.9393939393939075E-3</v>
      </c>
      <c r="H139" s="85">
        <v>-9.5130603031280403E-3</v>
      </c>
      <c r="I139" s="85">
        <v>2.73972602739736E-3</v>
      </c>
      <c r="J139" s="85">
        <v>5.0766790058170308E-2</v>
      </c>
      <c r="K139" s="85">
        <v>2.9242262540021269E-2</v>
      </c>
      <c r="L139" s="85">
        <v>2.9259896729776358E-2</v>
      </c>
      <c r="M139" s="85">
        <v>1.6995447647951245E-2</v>
      </c>
      <c r="N139" s="86">
        <f t="shared" si="4"/>
        <v>1.6932180097606515E-3</v>
      </c>
    </row>
    <row r="140" spans="1:14" x14ac:dyDescent="0.2">
      <c r="A140" s="84">
        <v>38054</v>
      </c>
      <c r="B140" s="85">
        <v>-9.4238594988219626E-3</v>
      </c>
      <c r="C140" s="85">
        <v>-7.8865578865578767E-2</v>
      </c>
      <c r="D140" s="85">
        <v>2.5063938618925752E-2</v>
      </c>
      <c r="E140" s="85">
        <v>-1.1577051710830899E-2</v>
      </c>
      <c r="F140" s="85">
        <v>2.2392135445111983E-2</v>
      </c>
      <c r="G140" s="85">
        <v>4.5971449310429069E-3</v>
      </c>
      <c r="H140" s="85">
        <v>1.4488035161972945E-2</v>
      </c>
      <c r="I140" s="85">
        <v>-6.0109289617485961E-3</v>
      </c>
      <c r="J140" s="85">
        <v>1.7614494212380372E-2</v>
      </c>
      <c r="K140" s="85">
        <v>-2.3849025300705096E-2</v>
      </c>
      <c r="L140" s="85">
        <v>7.5250836120399622E-3</v>
      </c>
      <c r="M140" s="85">
        <v>1.3130408833184282E-2</v>
      </c>
      <c r="N140" s="86">
        <f t="shared" si="4"/>
        <v>-2.0762669602522599E-3</v>
      </c>
    </row>
    <row r="141" spans="1:14" x14ac:dyDescent="0.2">
      <c r="A141" s="84">
        <v>38047</v>
      </c>
      <c r="B141" s="85">
        <v>4.043243243243233E-2</v>
      </c>
      <c r="C141" s="85">
        <v>4.0067482075073713E-2</v>
      </c>
      <c r="D141" s="85">
        <v>2.7445109780439125E-2</v>
      </c>
      <c r="E141" s="85">
        <v>2.8370640291514704E-2</v>
      </c>
      <c r="F141" s="85">
        <v>1.5491452991453158E-2</v>
      </c>
      <c r="G141" s="85">
        <v>3.5886319845857217E-2</v>
      </c>
      <c r="H141" s="85">
        <v>2.8722721437740573E-2</v>
      </c>
      <c r="I141" s="85">
        <v>1.1544804837822831E-2</v>
      </c>
      <c r="J141" s="85">
        <v>2.5717111770524381E-2</v>
      </c>
      <c r="K141" s="85">
        <v>1.0197578075207048E-2</v>
      </c>
      <c r="L141" s="85">
        <v>6.9156293222683018E-3</v>
      </c>
      <c r="M141" s="85">
        <v>3.4167893961708273E-2</v>
      </c>
      <c r="N141" s="86">
        <f t="shared" si="4"/>
        <v>2.5413264735170138E-2</v>
      </c>
    </row>
    <row r="142" spans="1:14" x14ac:dyDescent="0.2">
      <c r="A142" s="84">
        <v>38040</v>
      </c>
      <c r="B142" s="85">
        <v>-1.4962593516209433E-2</v>
      </c>
      <c r="C142" s="85">
        <v>-1.0543390105433925E-2</v>
      </c>
      <c r="D142" s="85">
        <v>-4.613890237979601E-2</v>
      </c>
      <c r="E142" s="85">
        <v>-4.8342191850164418E-2</v>
      </c>
      <c r="F142" s="85">
        <v>-2.4197790636507177E-2</v>
      </c>
      <c r="G142" s="85">
        <v>-4.6268309695419507E-2</v>
      </c>
      <c r="H142" s="85">
        <v>8.8909686476370542E-3</v>
      </c>
      <c r="I142" s="85">
        <v>6.0869565217391397E-2</v>
      </c>
      <c r="J142" s="85">
        <v>-3.9537126325940197E-2</v>
      </c>
      <c r="K142" s="85">
        <v>-2.7549947423764376E-2</v>
      </c>
      <c r="L142" s="85">
        <v>-3.4065934065934167E-2</v>
      </c>
      <c r="M142" s="85">
        <v>1.5665052691540726E-2</v>
      </c>
      <c r="N142" s="86">
        <f t="shared" si="4"/>
        <v>-1.7181716620216669E-2</v>
      </c>
    </row>
    <row r="143" spans="1:14" x14ac:dyDescent="0.2">
      <c r="A143" s="84">
        <v>38034</v>
      </c>
      <c r="B143" s="85">
        <v>-2.4261603375527407E-2</v>
      </c>
      <c r="C143" s="85">
        <v>-9.0983606557377028E-2</v>
      </c>
      <c r="D143" s="85">
        <v>-0.15427698574338089</v>
      </c>
      <c r="E143" s="85">
        <v>-1.6755319148936243E-2</v>
      </c>
      <c r="F143" s="85">
        <v>-2.6415094339622747E-2</v>
      </c>
      <c r="G143" s="85">
        <v>-1.0970258410531564E-2</v>
      </c>
      <c r="H143" s="85">
        <v>-2.7983920841063825E-2</v>
      </c>
      <c r="I143" s="85">
        <v>7.5819672131147486E-2</v>
      </c>
      <c r="J143" s="85">
        <v>2.3929049531459246E-2</v>
      </c>
      <c r="K143" s="85">
        <v>1.5354671280276788E-2</v>
      </c>
      <c r="L143" s="85">
        <v>0.18600682593856677</v>
      </c>
      <c r="M143" s="85">
        <v>-1.28996074032528E-2</v>
      </c>
      <c r="N143" s="86">
        <f t="shared" si="4"/>
        <v>-5.2863480781868517E-3</v>
      </c>
    </row>
    <row r="144" spans="1:14" x14ac:dyDescent="0.2">
      <c r="A144" s="84">
        <v>38026</v>
      </c>
      <c r="B144" s="85">
        <v>1.9459459459461037E-3</v>
      </c>
      <c r="C144" s="85">
        <v>-4.8692515779981904E-2</v>
      </c>
      <c r="D144" s="85">
        <v>3.4316676700782756E-2</v>
      </c>
      <c r="E144" s="85">
        <v>1.7581823099810601E-2</v>
      </c>
      <c r="F144" s="85">
        <v>1.3289036544850585E-2</v>
      </c>
      <c r="G144" s="85">
        <v>-1.0105989647522851E-2</v>
      </c>
      <c r="H144" s="85">
        <v>-3.5470017496421091E-2</v>
      </c>
      <c r="I144" s="85">
        <v>6.9047619047619024E-2</v>
      </c>
      <c r="J144" s="85">
        <v>-2.353325706814835E-2</v>
      </c>
      <c r="K144" s="85">
        <v>2.0873269435569775E-2</v>
      </c>
      <c r="L144" s="85">
        <v>-9.5923261390888914E-3</v>
      </c>
      <c r="M144" s="85">
        <v>-2.0738636363636487E-2</v>
      </c>
      <c r="N144" s="86">
        <f t="shared" si="4"/>
        <v>7.4346902331493914E-4</v>
      </c>
    </row>
    <row r="145" spans="1:14" x14ac:dyDescent="0.2">
      <c r="A145" s="84">
        <v>38019</v>
      </c>
      <c r="B145" s="85">
        <v>-1.2947777298231156E-3</v>
      </c>
      <c r="C145" s="85">
        <v>-2.9383886255924252E-2</v>
      </c>
      <c r="D145" s="85">
        <v>-1.5133876600698426E-2</v>
      </c>
      <c r="E145" s="85">
        <v>-5.3163211057938309E-4</v>
      </c>
      <c r="F145" s="85">
        <v>9.2896174863386083E-3</v>
      </c>
      <c r="G145" s="85">
        <v>-1.0707171314741082E-2</v>
      </c>
      <c r="H145" s="85">
        <v>-2.1108179419525031E-2</v>
      </c>
      <c r="I145" s="85">
        <v>5.6124721603563632E-2</v>
      </c>
      <c r="J145" s="85">
        <v>-0.04</v>
      </c>
      <c r="K145" s="85">
        <v>-4.8612559983308934E-2</v>
      </c>
      <c r="L145" s="85">
        <v>-3.2687651331719025E-2</v>
      </c>
      <c r="M145" s="85">
        <v>-5.2219321148825326E-3</v>
      </c>
      <c r="N145" s="86">
        <f t="shared" si="4"/>
        <v>-1.1605610647608296E-2</v>
      </c>
    </row>
    <row r="146" spans="1:14" x14ac:dyDescent="0.2">
      <c r="A146" s="84">
        <v>38012</v>
      </c>
      <c r="B146" s="85">
        <v>4.3431287813310293E-2</v>
      </c>
      <c r="C146" s="85">
        <v>-9.08203125E-2</v>
      </c>
      <c r="D146" s="85">
        <v>-4.137115839243477E-3</v>
      </c>
      <c r="E146" s="85">
        <v>-2.7127659574468166E-2</v>
      </c>
      <c r="F146" s="85">
        <v>-1.1369788846778417E-2</v>
      </c>
      <c r="G146" s="85">
        <v>-2.1142713314875272E-2</v>
      </c>
      <c r="H146" s="85">
        <v>-5.0539083557951114E-3</v>
      </c>
      <c r="I146" s="85">
        <v>1.433994095318436E-2</v>
      </c>
      <c r="J146" s="85">
        <v>1.4818688981868888E-2</v>
      </c>
      <c r="K146" s="85">
        <v>-3.0701754385964897E-2</v>
      </c>
      <c r="L146" s="85">
        <v>1.3516896120150168E-2</v>
      </c>
      <c r="M146" s="85">
        <v>7.5823855351413449E-3</v>
      </c>
      <c r="N146" s="86">
        <f t="shared" si="4"/>
        <v>-8.0553377844558571E-3</v>
      </c>
    </row>
    <row r="147" spans="1:14" x14ac:dyDescent="0.2">
      <c r="A147" s="84">
        <v>38006</v>
      </c>
      <c r="B147" s="85">
        <v>-1.5945330296127436E-2</v>
      </c>
      <c r="C147" s="85">
        <v>-1.9871106337271849E-2</v>
      </c>
      <c r="D147" s="85">
        <v>8.2492581602373605E-2</v>
      </c>
      <c r="E147" s="85">
        <v>-5.1120831055221361E-2</v>
      </c>
      <c r="F147" s="85">
        <v>2.8477546549835697E-2</v>
      </c>
      <c r="G147" s="85">
        <v>1.8256621239393089E-2</v>
      </c>
      <c r="H147" s="85">
        <v>-4.2499153403318779E-2</v>
      </c>
      <c r="I147" s="85">
        <v>6.7359667359667474E-2</v>
      </c>
      <c r="J147" s="85">
        <v>1.8553513142071765E-2</v>
      </c>
      <c r="K147" s="85">
        <v>-1.9230769230769273E-2</v>
      </c>
      <c r="L147" s="85">
        <v>1.6053346505309873E-2</v>
      </c>
      <c r="M147" s="85">
        <v>8.9725036179451045E-3</v>
      </c>
      <c r="N147" s="86">
        <f t="shared" si="4"/>
        <v>7.6248824744906589E-3</v>
      </c>
    </row>
    <row r="148" spans="1:14" x14ac:dyDescent="0.2">
      <c r="A148" s="84">
        <v>37998</v>
      </c>
      <c r="B148" s="85">
        <v>-2.9882154882154954E-2</v>
      </c>
      <c r="C148" s="85">
        <v>2.73972602739736E-3</v>
      </c>
      <c r="D148" s="85">
        <v>-1.1513157894736725E-2</v>
      </c>
      <c r="E148" s="85">
        <v>-3.1403053874964115E-2</v>
      </c>
      <c r="F148" s="85">
        <v>3.8871139510117114E-2</v>
      </c>
      <c r="G148" s="85">
        <v>-8.3333333333333037E-3</v>
      </c>
      <c r="H148" s="85">
        <v>1.5384615384615552E-2</v>
      </c>
      <c r="I148" s="85">
        <v>1.3634592910011678E-2</v>
      </c>
      <c r="J148" s="85">
        <v>1.9227525721032146E-2</v>
      </c>
      <c r="K148" s="85">
        <v>3.7139561707035806E-2</v>
      </c>
      <c r="L148" s="85">
        <v>-5.2017501215362194E-2</v>
      </c>
      <c r="M148" s="85">
        <v>-4.8766494549628003E-3</v>
      </c>
      <c r="N148" s="86">
        <f t="shared" si="4"/>
        <v>-9.1905744960870306E-4</v>
      </c>
    </row>
    <row r="149" spans="1:14" x14ac:dyDescent="0.2">
      <c r="A149" s="84">
        <v>37991</v>
      </c>
      <c r="B149" s="85">
        <v>-1.5184381778741929E-2</v>
      </c>
      <c r="C149" s="85">
        <v>-6.6120218579235002E-2</v>
      </c>
      <c r="D149" s="85">
        <v>-2.1075984470327325E-2</v>
      </c>
      <c r="E149" s="85">
        <v>-1.6954193932183226E-2</v>
      </c>
      <c r="F149" s="85">
        <v>8.2009226037929039E-3</v>
      </c>
      <c r="G149" s="85">
        <v>-1.2987012987013102E-2</v>
      </c>
      <c r="H149" s="85">
        <v>1.689306861720663E-2</v>
      </c>
      <c r="I149" s="85">
        <v>1.4604150653343639E-2</v>
      </c>
      <c r="J149" s="85">
        <v>-5.2953830878702646E-2</v>
      </c>
      <c r="K149" s="85">
        <v>-5.7829181494661874E-3</v>
      </c>
      <c r="L149" s="85">
        <v>-3.5384615384615459E-2</v>
      </c>
      <c r="M149" s="85">
        <v>-2.3926203516863587E-2</v>
      </c>
      <c r="N149" s="86">
        <f t="shared" si="4"/>
        <v>-1.7555934816900442E-2</v>
      </c>
    </row>
    <row r="150" spans="1:14" x14ac:dyDescent="0.2">
      <c r="A150" s="84">
        <v>37984</v>
      </c>
      <c r="B150" s="85">
        <v>8.8105726872247381E-3</v>
      </c>
      <c r="C150" s="85">
        <v>-4.6811000585137541E-2</v>
      </c>
      <c r="D150" s="85">
        <v>-4.8158640226628746E-2</v>
      </c>
      <c r="E150" s="85">
        <v>1.0287443267776197E-2</v>
      </c>
      <c r="F150" s="85">
        <v>4.8805287239450879E-2</v>
      </c>
      <c r="G150" s="85">
        <v>-5.5211558307533548E-2</v>
      </c>
      <c r="H150" s="85">
        <v>4.4528172632298801E-3</v>
      </c>
      <c r="I150" s="85">
        <v>-0.12121212121212122</v>
      </c>
      <c r="J150" s="85">
        <v>-4.3683382841167573E-3</v>
      </c>
      <c r="K150" s="85">
        <v>6.5548098434004443E-2</v>
      </c>
      <c r="L150" s="85">
        <v>4.5188729399255889E-2</v>
      </c>
      <c r="M150" s="85">
        <v>5.4636739515652621E-2</v>
      </c>
      <c r="N150" s="86">
        <f t="shared" si="4"/>
        <v>-3.1693309007452632E-3</v>
      </c>
    </row>
    <row r="151" spans="1:14" x14ac:dyDescent="0.2">
      <c r="A151" s="84">
        <v>37977</v>
      </c>
      <c r="B151" s="85">
        <v>-7.8602620087335762E-3</v>
      </c>
      <c r="C151" s="85">
        <v>-8.5942295887048159E-3</v>
      </c>
      <c r="D151" s="85">
        <v>-7.1428571428572285E-3</v>
      </c>
      <c r="E151" s="85">
        <v>4.1030248577418327E-2</v>
      </c>
      <c r="F151" s="85">
        <v>9.6946194861846635E-4</v>
      </c>
      <c r="G151" s="85">
        <v>-1.0922992900054607E-2</v>
      </c>
      <c r="H151" s="85">
        <v>-5.7971014492752548E-3</v>
      </c>
      <c r="I151" s="85">
        <v>-1.767241379310347E-2</v>
      </c>
      <c r="J151" s="85">
        <v>8.2485082485084238E-3</v>
      </c>
      <c r="K151" s="85">
        <v>-1.700608859962216E-2</v>
      </c>
      <c r="L151" s="85">
        <v>-4.3234994913530223E-3</v>
      </c>
      <c r="M151" s="85">
        <v>2.8003360403250355E-4</v>
      </c>
      <c r="N151" s="86">
        <f t="shared" si="4"/>
        <v>-2.3992660495938678E-3</v>
      </c>
    </row>
    <row r="152" spans="1:14" x14ac:dyDescent="0.2">
      <c r="A152" s="84">
        <v>37970</v>
      </c>
      <c r="B152" s="85">
        <v>-3.3010563380281299E-3</v>
      </c>
      <c r="C152" s="85">
        <v>-1.4241486068111375E-2</v>
      </c>
      <c r="D152" s="85">
        <v>-5.455635491606714E-2</v>
      </c>
      <c r="E152" s="85">
        <v>-9.4936708860758889E-3</v>
      </c>
      <c r="F152" s="85">
        <v>1.0653753026634405E-2</v>
      </c>
      <c r="G152" s="85">
        <v>-1.2147984538928736E-2</v>
      </c>
      <c r="H152" s="85">
        <v>-1.4920253815812079E-2</v>
      </c>
      <c r="I152" s="85">
        <v>-2.3255813953488302E-2</v>
      </c>
      <c r="J152" s="85">
        <v>-2.5065274151436112E-2</v>
      </c>
      <c r="K152" s="85">
        <v>8.9705254164886838E-3</v>
      </c>
      <c r="L152" s="85">
        <v>-2.937420178799488E-2</v>
      </c>
      <c r="M152" s="85">
        <v>-1.1478163493840898E-2</v>
      </c>
      <c r="N152" s="86">
        <f t="shared" si="4"/>
        <v>-1.4850831792221705E-2</v>
      </c>
    </row>
    <row r="153" spans="1:14" x14ac:dyDescent="0.2">
      <c r="A153" s="84">
        <v>37963</v>
      </c>
      <c r="B153" s="85">
        <v>-1.8767939942592182E-2</v>
      </c>
      <c r="C153" s="85">
        <v>-1.5703517587939753E-2</v>
      </c>
      <c r="D153" s="85">
        <v>-7.609384908053185E-3</v>
      </c>
      <c r="E153" s="85">
        <v>-1.5974440894568565E-2</v>
      </c>
      <c r="F153" s="85">
        <v>4.1207474844274117E-2</v>
      </c>
      <c r="G153" s="85">
        <v>-1.9284516489659009E-2</v>
      </c>
      <c r="H153" s="85">
        <v>5.3969359331476063E-3</v>
      </c>
      <c r="I153" s="85">
        <v>-2.0664869721473522E-2</v>
      </c>
      <c r="J153" s="85">
        <v>1.6604177825388255E-2</v>
      </c>
      <c r="K153" s="85">
        <v>-5.567315834038955E-2</v>
      </c>
      <c r="L153" s="85">
        <v>-6.9736842105263097E-2</v>
      </c>
      <c r="M153" s="85">
        <v>3.7949589351458313E-2</v>
      </c>
      <c r="N153" s="86">
        <f t="shared" si="4"/>
        <v>-1.0188041002972548E-2</v>
      </c>
    </row>
    <row r="154" spans="1:14" x14ac:dyDescent="0.2">
      <c r="A154" s="84">
        <v>37956</v>
      </c>
      <c r="B154" s="85">
        <v>8.7758775877588846E-3</v>
      </c>
      <c r="C154" s="85">
        <v>2.4250159540523342E-2</v>
      </c>
      <c r="D154" s="85">
        <v>-9.0734824281150206E-2</v>
      </c>
      <c r="E154" s="85">
        <v>-2.804014167650537E-2</v>
      </c>
      <c r="F154" s="85">
        <v>-2.1629084215370353E-2</v>
      </c>
      <c r="G154" s="85">
        <v>-3.7047591906527177E-3</v>
      </c>
      <c r="H154" s="85">
        <v>-1.8181818181818188E-2</v>
      </c>
      <c r="I154" s="85">
        <v>3.394495412844023E-2</v>
      </c>
      <c r="J154" s="85">
        <v>-2.7748507200561989E-2</v>
      </c>
      <c r="K154" s="85">
        <v>2.6899798251513118E-2</v>
      </c>
      <c r="L154" s="85">
        <v>-2.4045261669024098E-2</v>
      </c>
      <c r="M154" s="85">
        <v>-1.9099590723055782E-2</v>
      </c>
      <c r="N154" s="86">
        <f t="shared" si="4"/>
        <v>-1.1609433135825261E-2</v>
      </c>
    </row>
    <row r="155" spans="1:14" x14ac:dyDescent="0.2">
      <c r="A155" s="84">
        <v>37949</v>
      </c>
      <c r="B155" s="85">
        <v>-1.5614543832255134E-2</v>
      </c>
      <c r="C155" s="85">
        <v>0.14953271028037363</v>
      </c>
      <c r="D155" s="85">
        <v>-0.15671117357695008</v>
      </c>
      <c r="E155" s="85">
        <v>5.7698147585787396E-3</v>
      </c>
      <c r="F155" s="85">
        <v>-2.5399811853245691E-2</v>
      </c>
      <c r="G155" s="85">
        <v>1.2585812356979309E-2</v>
      </c>
      <c r="H155" s="85">
        <v>-4.3738977072310448E-2</v>
      </c>
      <c r="I155" s="85">
        <v>1.8633540372670954E-2</v>
      </c>
      <c r="J155" s="85">
        <v>-1.4450867052022698E-3</v>
      </c>
      <c r="K155" s="85">
        <v>7.6620825147347693E-2</v>
      </c>
      <c r="L155" s="85">
        <v>5.7971014492763651E-4</v>
      </c>
      <c r="M155" s="85">
        <v>2.3922114047287835E-2</v>
      </c>
      <c r="N155" s="86">
        <f t="shared" si="4"/>
        <v>3.727911172350181E-3</v>
      </c>
    </row>
    <row r="156" spans="1:14" x14ac:dyDescent="0.2">
      <c r="A156" s="84">
        <v>37942</v>
      </c>
      <c r="B156" s="85">
        <v>-1.6542034896895652E-2</v>
      </c>
      <c r="C156" s="85">
        <v>-3.7940379403794022E-2</v>
      </c>
      <c r="D156" s="85">
        <v>5.833333333333357E-3</v>
      </c>
      <c r="E156" s="85">
        <v>-5.13285024154575E-3</v>
      </c>
      <c r="F156" s="85">
        <v>-3.3301158301158207E-2</v>
      </c>
      <c r="G156" s="85">
        <v>-1.1299435028248594E-2</v>
      </c>
      <c r="H156" s="85">
        <v>-1.3832534120250872E-2</v>
      </c>
      <c r="I156" s="85">
        <v>-1.7857142857142905E-2</v>
      </c>
      <c r="J156" s="85">
        <v>-4.3415340086830678E-2</v>
      </c>
      <c r="K156" s="85">
        <v>-3.0819140308191439E-2</v>
      </c>
      <c r="L156" s="85">
        <v>-6.3731170336038812E-3</v>
      </c>
      <c r="M156" s="85">
        <v>-2.8796522684053305E-2</v>
      </c>
      <c r="N156" s="86">
        <f t="shared" si="4"/>
        <v>-1.9956360135698497E-2</v>
      </c>
    </row>
    <row r="157" spans="1:14" x14ac:dyDescent="0.2">
      <c r="A157" s="84">
        <v>37935</v>
      </c>
      <c r="B157" s="85">
        <v>1.635944700460823E-2</v>
      </c>
      <c r="C157" s="85">
        <v>1.9718309859154903E-2</v>
      </c>
      <c r="D157" s="85">
        <v>2.7340513670256916E-2</v>
      </c>
      <c r="E157" s="85">
        <v>1.5174506828528056E-2</v>
      </c>
      <c r="F157" s="85">
        <v>-1.7973040439341004E-2</v>
      </c>
      <c r="G157" s="85">
        <v>1.3142857142857123E-2</v>
      </c>
      <c r="H157" s="85">
        <v>4.4884982233028836E-3</v>
      </c>
      <c r="I157" s="85">
        <v>-1.7738359201773912E-2</v>
      </c>
      <c r="J157" s="85">
        <v>3.895612708018148E-2</v>
      </c>
      <c r="K157" s="85">
        <v>1.4853556485355579E-2</v>
      </c>
      <c r="L157" s="85">
        <v>-2.1865889212827949E-2</v>
      </c>
      <c r="M157" s="85">
        <v>3.3566433566432075E-3</v>
      </c>
      <c r="N157" s="86">
        <f t="shared" si="4"/>
        <v>7.9844308997454594E-3</v>
      </c>
    </row>
  </sheetData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C1"/>
    </sheetView>
  </sheetViews>
  <sheetFormatPr defaultRowHeight="12.75" x14ac:dyDescent="0.2"/>
  <cols>
    <col min="2" max="2" width="16.28515625" bestFit="1" customWidth="1"/>
  </cols>
  <sheetData>
    <row r="1" spans="1:8" x14ac:dyDescent="0.2">
      <c r="A1" t="s">
        <v>241</v>
      </c>
    </row>
    <row r="2" spans="1:8" x14ac:dyDescent="0.2">
      <c r="C2" t="s">
        <v>70</v>
      </c>
      <c r="D2" t="s">
        <v>68</v>
      </c>
      <c r="E2" t="s">
        <v>65</v>
      </c>
      <c r="F2" t="s">
        <v>63</v>
      </c>
      <c r="G2" t="s">
        <v>3</v>
      </c>
      <c r="H2" t="s">
        <v>2</v>
      </c>
    </row>
    <row r="3" spans="1:8" x14ac:dyDescent="0.2">
      <c r="B3" t="s">
        <v>239</v>
      </c>
      <c r="C3" s="35">
        <f>'Income Statement'!D20</f>
        <v>0.32481517513559077</v>
      </c>
      <c r="D3" s="35">
        <f>'Income Statement'!E20</f>
        <v>0.33574335768637664</v>
      </c>
      <c r="E3" s="35">
        <f>'Income Statement'!F20</f>
        <v>0.27147598172832543</v>
      </c>
      <c r="F3" s="35">
        <f>'Income Statement'!G20</f>
        <v>0.31830318096027255</v>
      </c>
      <c r="G3" s="35">
        <f>'Income Statement'!H20</f>
        <v>0.34939729435754951</v>
      </c>
      <c r="H3" s="35">
        <f>'Income Statement'!I20</f>
        <v>0.32457701992731347</v>
      </c>
    </row>
    <row r="4" spans="1:8" x14ac:dyDescent="0.2">
      <c r="B4" t="s">
        <v>240</v>
      </c>
      <c r="C4" s="35">
        <f>'Income Statement'!D49</f>
        <v>0.22464541591010245</v>
      </c>
      <c r="D4" s="35">
        <f>'Income Statement'!E49</f>
        <v>0.23288229643299543</v>
      </c>
      <c r="E4" s="35">
        <f>'Income Statement'!F49</f>
        <v>0.17495963134277234</v>
      </c>
      <c r="F4" s="35">
        <f>'Income Statement'!G49</f>
        <v>0.20201834205424871</v>
      </c>
      <c r="G4" s="35">
        <f>'Income Statement'!H49</f>
        <v>0.22742003569107344</v>
      </c>
      <c r="H4" s="35">
        <f>'Income Statement'!I49</f>
        <v>0.21314071335733514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:C2"/>
    </sheetView>
  </sheetViews>
  <sheetFormatPr defaultRowHeight="12.75" x14ac:dyDescent="0.2"/>
  <sheetData>
    <row r="1" spans="1:1" s="93" customFormat="1" ht="23.25" customHeight="1" thickBot="1" x14ac:dyDescent="0.3">
      <c r="A1" s="93" t="s">
        <v>236</v>
      </c>
    </row>
    <row r="2" spans="1:1" x14ac:dyDescent="0.2">
      <c r="A2" t="s">
        <v>241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workbookViewId="0">
      <pane xSplit="6" ySplit="4" topLeftCell="G5" activePane="bottomRight" state="frozen"/>
      <selection pane="topRight" activeCell="G1" sqref="G1"/>
      <selection pane="bottomLeft" activeCell="A5" sqref="A5"/>
      <selection pane="bottomRight" sqref="A1:C1"/>
    </sheetView>
  </sheetViews>
  <sheetFormatPr defaultRowHeight="12.75" outlineLevelRow="1" x14ac:dyDescent="0.2"/>
  <cols>
    <col min="1" max="2" width="9.140625" style="5" customWidth="1"/>
    <col min="3" max="3" width="10.140625" style="5" customWidth="1"/>
    <col min="7" max="7" width="10.28515625" style="5" bestFit="1" customWidth="1"/>
    <col min="8" max="8" width="9" style="5" bestFit="1" customWidth="1"/>
    <col min="9" max="10" width="9.140625" style="5" customWidth="1"/>
    <col min="11" max="12" width="11.28515625" style="5" bestFit="1" customWidth="1"/>
    <col min="13" max="17" width="10.28515625" style="55" bestFit="1" customWidth="1"/>
    <col min="18" max="16384" width="9.140625" style="5"/>
  </cols>
  <sheetData>
    <row r="1" spans="1:17" x14ac:dyDescent="0.2">
      <c r="A1" s="5" t="s">
        <v>241</v>
      </c>
      <c r="M1" s="80"/>
      <c r="N1" s="80"/>
      <c r="O1" s="80"/>
      <c r="P1" s="80"/>
      <c r="Q1" s="80"/>
    </row>
    <row r="2" spans="1:17" s="1" customFormat="1" ht="18" x14ac:dyDescent="0.25">
      <c r="A2" s="1" t="s">
        <v>0</v>
      </c>
      <c r="M2" s="53" t="s">
        <v>209</v>
      </c>
      <c r="N2" s="53"/>
      <c r="O2" s="53"/>
      <c r="P2" s="53"/>
      <c r="Q2" s="53"/>
    </row>
    <row r="4" spans="1:17" s="2" customFormat="1" x14ac:dyDescent="0.2">
      <c r="G4" s="2" t="s">
        <v>70</v>
      </c>
      <c r="H4" s="2" t="s">
        <v>68</v>
      </c>
      <c r="I4" s="2" t="s">
        <v>65</v>
      </c>
      <c r="J4" s="2" t="s">
        <v>63</v>
      </c>
      <c r="K4" s="2" t="s">
        <v>3</v>
      </c>
      <c r="L4" s="2" t="s">
        <v>2</v>
      </c>
      <c r="M4" s="54" t="s">
        <v>129</v>
      </c>
      <c r="N4" s="54" t="s">
        <v>130</v>
      </c>
      <c r="O4" s="54" t="s">
        <v>131</v>
      </c>
      <c r="P4" s="54" t="s">
        <v>132</v>
      </c>
      <c r="Q4" s="54" t="s">
        <v>144</v>
      </c>
    </row>
    <row r="5" spans="1:17" s="4" customFormat="1" ht="15.75" x14ac:dyDescent="0.25">
      <c r="A5" s="3" t="s">
        <v>1</v>
      </c>
    </row>
    <row r="7" spans="1:17" x14ac:dyDescent="0.2">
      <c r="A7" s="5" t="s">
        <v>4</v>
      </c>
    </row>
    <row r="8" spans="1:17" x14ac:dyDescent="0.2">
      <c r="B8" s="5" t="s">
        <v>5</v>
      </c>
      <c r="G8" s="5">
        <v>15245</v>
      </c>
      <c r="H8" s="5">
        <v>132690</v>
      </c>
      <c r="I8" s="5">
        <v>116746</v>
      </c>
      <c r="J8" s="5">
        <v>5720</v>
      </c>
      <c r="K8" s="5">
        <v>252548</v>
      </c>
      <c r="L8" s="5">
        <v>126590</v>
      </c>
      <c r="M8" s="55">
        <f>(M93+M96)-M56</f>
        <v>319492.34195999987</v>
      </c>
      <c r="N8" s="55">
        <f>(N93+N96)-N56</f>
        <v>405934.9336140001</v>
      </c>
      <c r="O8" s="55">
        <f>(O93+O96)-O56</f>
        <v>494195.81765713228</v>
      </c>
      <c r="P8" s="55">
        <f>(P93+P96)-P56</f>
        <v>561648.60199640272</v>
      </c>
      <c r="Q8" s="55">
        <f>(Q93+Q96)-Q56</f>
        <v>709839.84972874238</v>
      </c>
    </row>
    <row r="9" spans="1:17" x14ac:dyDescent="0.2">
      <c r="B9" s="5" t="s">
        <v>6</v>
      </c>
      <c r="G9" s="5">
        <v>0</v>
      </c>
      <c r="H9" s="5">
        <v>0</v>
      </c>
      <c r="I9" s="5">
        <v>0</v>
      </c>
      <c r="J9" s="5">
        <v>172600</v>
      </c>
      <c r="K9" s="5">
        <v>0</v>
      </c>
      <c r="L9" s="5">
        <v>148725</v>
      </c>
      <c r="M9" s="55">
        <f>'Income Statement'!J7*M10</f>
        <v>50742.815999999999</v>
      </c>
      <c r="N9" s="55">
        <f>'Income Statement'!K7*N10</f>
        <v>58354.238399999987</v>
      </c>
      <c r="O9" s="55">
        <f>'Income Statement'!L7*O10</f>
        <v>68274.458927999993</v>
      </c>
      <c r="P9" s="55">
        <f>'Income Statement'!M7*P10</f>
        <v>83977.58448143999</v>
      </c>
      <c r="Q9" s="55">
        <f>'Income Statement'!N7*Q10</f>
        <v>97413.997998470368</v>
      </c>
    </row>
    <row r="10" spans="1:17" s="16" customFormat="1" ht="11.25" x14ac:dyDescent="0.2">
      <c r="B10" s="25" t="s">
        <v>106</v>
      </c>
      <c r="C10" s="25"/>
      <c r="D10" s="24"/>
      <c r="E10" s="24"/>
      <c r="F10" s="24"/>
      <c r="G10" s="19">
        <f>G9/'Income Statement'!D7</f>
        <v>0</v>
      </c>
      <c r="H10" s="19">
        <f>H9/'Income Statement'!E7</f>
        <v>0</v>
      </c>
      <c r="I10" s="19">
        <f>I9/'Income Statement'!F7</f>
        <v>0</v>
      </c>
      <c r="J10" s="19">
        <f>J9/'Income Statement'!G7</f>
        <v>0.44141641987243424</v>
      </c>
      <c r="K10" s="19">
        <f>K9/'Income Statement'!H7</f>
        <v>0</v>
      </c>
      <c r="L10" s="19">
        <f>L9/'Income Statement'!I7</f>
        <v>0.28137184976095925</v>
      </c>
      <c r="M10" s="56">
        <f>Assumptions!I31</f>
        <v>0.08</v>
      </c>
      <c r="N10" s="56">
        <f>Assumptions!J31</f>
        <v>0.08</v>
      </c>
      <c r="O10" s="56">
        <f>Assumptions!K31</f>
        <v>0.08</v>
      </c>
      <c r="P10" s="56">
        <f>Assumptions!L31</f>
        <v>0.08</v>
      </c>
      <c r="Q10" s="56">
        <f>Assumptions!M31</f>
        <v>0.08</v>
      </c>
    </row>
    <row r="11" spans="1:17" x14ac:dyDescent="0.2">
      <c r="B11" s="5" t="s">
        <v>7</v>
      </c>
      <c r="G11" s="5">
        <f t="shared" ref="G11:Q11" si="0">G21</f>
        <v>64907</v>
      </c>
      <c r="H11" s="5">
        <f t="shared" si="0"/>
        <v>64072</v>
      </c>
      <c r="I11" s="5">
        <f t="shared" si="0"/>
        <v>71553</v>
      </c>
      <c r="J11" s="5">
        <f t="shared" si="0"/>
        <v>81633</v>
      </c>
      <c r="K11" s="5">
        <f t="shared" si="0"/>
        <v>89002</v>
      </c>
      <c r="L11" s="5">
        <f t="shared" si="0"/>
        <v>99959</v>
      </c>
      <c r="M11" s="55">
        <f t="shared" si="0"/>
        <v>120514.18799999999</v>
      </c>
      <c r="N11" s="55">
        <f t="shared" si="0"/>
        <v>138591.31619999997</v>
      </c>
      <c r="O11" s="55">
        <f t="shared" si="0"/>
        <v>162151.83995399997</v>
      </c>
      <c r="P11" s="55">
        <f t="shared" si="0"/>
        <v>199446.76314341996</v>
      </c>
      <c r="Q11" s="55">
        <f t="shared" si="0"/>
        <v>231358.24524636712</v>
      </c>
    </row>
    <row r="12" spans="1:17" s="16" customFormat="1" ht="11.25" x14ac:dyDescent="0.2">
      <c r="B12" s="26" t="s">
        <v>106</v>
      </c>
      <c r="C12" s="26"/>
      <c r="D12" s="20"/>
      <c r="E12" s="24"/>
      <c r="F12" s="24"/>
      <c r="G12" s="19">
        <f>G21/'Income Statement'!D7</f>
        <v>0.2556510916187783</v>
      </c>
      <c r="H12" s="19">
        <f>H21/'Income Statement'!E7</f>
        <v>0.20246732563136741</v>
      </c>
      <c r="I12" s="19">
        <f>I21/'Income Statement'!F7</f>
        <v>0.20595354941958363</v>
      </c>
      <c r="J12" s="19">
        <f>J21/'Income Statement'!G7</f>
        <v>0.20877257591799783</v>
      </c>
      <c r="K12" s="19">
        <f>K21/'Income Statement'!H7</f>
        <v>0.19878453803734833</v>
      </c>
      <c r="L12" s="19">
        <f>L21/'Income Statement'!I7</f>
        <v>0.18911177495549319</v>
      </c>
      <c r="M12" s="56">
        <f>Assumptions!I33</f>
        <v>0.19</v>
      </c>
      <c r="N12" s="56">
        <f>Assumptions!J33</f>
        <v>0.19</v>
      </c>
      <c r="O12" s="56">
        <f>Assumptions!K33</f>
        <v>0.19</v>
      </c>
      <c r="P12" s="56">
        <f>Assumptions!L33</f>
        <v>0.19</v>
      </c>
      <c r="Q12" s="56">
        <f>Assumptions!M33</f>
        <v>0.19</v>
      </c>
    </row>
    <row r="13" spans="1:17" outlineLevel="1" x14ac:dyDescent="0.2">
      <c r="C13" s="5" t="s">
        <v>37</v>
      </c>
      <c r="G13" s="5">
        <v>42769</v>
      </c>
      <c r="H13" s="5">
        <v>43068</v>
      </c>
      <c r="I13" s="5">
        <v>49482</v>
      </c>
      <c r="J13" s="5">
        <v>52189</v>
      </c>
      <c r="K13" s="5">
        <v>59121</v>
      </c>
      <c r="L13" s="5">
        <v>66704</v>
      </c>
    </row>
    <row r="14" spans="1:17" s="16" customFormat="1" ht="11.25" outlineLevel="1" x14ac:dyDescent="0.2">
      <c r="C14" s="25" t="s">
        <v>109</v>
      </c>
      <c r="D14" s="24"/>
      <c r="E14" s="24"/>
      <c r="F14" s="24"/>
      <c r="G14" s="19">
        <f t="shared" ref="G14:L14" si="1">G13/G21</f>
        <v>0.65892738841727394</v>
      </c>
      <c r="H14" s="19">
        <f t="shared" si="1"/>
        <v>0.67218129604195276</v>
      </c>
      <c r="I14" s="19">
        <f t="shared" si="1"/>
        <v>0.69154333151649827</v>
      </c>
      <c r="J14" s="19">
        <f t="shared" si="1"/>
        <v>0.63931253292173507</v>
      </c>
      <c r="K14" s="19">
        <f t="shared" si="1"/>
        <v>0.66426597155120115</v>
      </c>
      <c r="L14" s="19">
        <f t="shared" si="1"/>
        <v>0.66731359857541594</v>
      </c>
      <c r="M14" s="61"/>
      <c r="N14" s="61"/>
      <c r="O14" s="61"/>
      <c r="P14" s="61"/>
      <c r="Q14" s="61"/>
    </row>
    <row r="15" spans="1:17" outlineLevel="1" x14ac:dyDescent="0.2">
      <c r="C15" s="5" t="s">
        <v>38</v>
      </c>
      <c r="G15" s="5">
        <v>19624</v>
      </c>
      <c r="H15" s="5">
        <v>18628</v>
      </c>
      <c r="I15" s="5">
        <v>22344</v>
      </c>
      <c r="J15" s="5">
        <v>29697</v>
      </c>
      <c r="K15" s="5">
        <v>31110</v>
      </c>
      <c r="L15" s="5">
        <v>33454</v>
      </c>
    </row>
    <row r="16" spans="1:17" s="16" customFormat="1" ht="11.25" outlineLevel="1" x14ac:dyDescent="0.2">
      <c r="C16" s="26" t="s">
        <v>109</v>
      </c>
      <c r="D16" s="24"/>
      <c r="E16" s="24"/>
      <c r="F16" s="24"/>
      <c r="G16" s="19">
        <f t="shared" ref="G16:L16" si="2">G15/G21</f>
        <v>0.30234027146532733</v>
      </c>
      <c r="H16" s="19">
        <f t="shared" si="2"/>
        <v>0.29073542264951929</v>
      </c>
      <c r="I16" s="19">
        <f t="shared" si="2"/>
        <v>0.3122720221374366</v>
      </c>
      <c r="J16" s="19">
        <f t="shared" si="2"/>
        <v>0.36378670390650841</v>
      </c>
      <c r="K16" s="19">
        <f t="shared" si="2"/>
        <v>0.3495427069054628</v>
      </c>
      <c r="L16" s="19">
        <f t="shared" si="2"/>
        <v>0.3346772176592403</v>
      </c>
      <c r="M16" s="61"/>
      <c r="N16" s="61"/>
      <c r="O16" s="61"/>
      <c r="P16" s="61"/>
      <c r="Q16" s="61"/>
    </row>
    <row r="17" spans="2:17" outlineLevel="1" x14ac:dyDescent="0.2">
      <c r="C17" s="5" t="s">
        <v>39</v>
      </c>
      <c r="G17" s="5">
        <v>4158</v>
      </c>
      <c r="H17" s="5">
        <v>3579</v>
      </c>
      <c r="I17" s="5">
        <v>755</v>
      </c>
      <c r="J17" s="5">
        <v>1536</v>
      </c>
      <c r="K17" s="5">
        <v>43</v>
      </c>
      <c r="L17" s="5">
        <v>1621</v>
      </c>
    </row>
    <row r="18" spans="2:17" s="19" customFormat="1" ht="11.25" outlineLevel="1" x14ac:dyDescent="0.2">
      <c r="C18" s="27" t="s">
        <v>109</v>
      </c>
      <c r="G18" s="19">
        <f t="shared" ref="G18:L18" si="3">G17/G21</f>
        <v>6.4060887115411275E-2</v>
      </c>
      <c r="H18" s="19">
        <f t="shared" si="3"/>
        <v>5.5859033587214384E-2</v>
      </c>
      <c r="I18" s="19">
        <f t="shared" si="3"/>
        <v>1.0551619079563401E-2</v>
      </c>
      <c r="J18" s="19">
        <f t="shared" si="3"/>
        <v>1.8815920032339863E-2</v>
      </c>
      <c r="K18" s="19">
        <f t="shared" si="3"/>
        <v>4.8313521044470912E-4</v>
      </c>
      <c r="L18" s="19">
        <f t="shared" si="3"/>
        <v>1.6216648826018667E-2</v>
      </c>
      <c r="M18" s="56"/>
      <c r="N18" s="56"/>
      <c r="O18" s="56"/>
      <c r="P18" s="56"/>
      <c r="Q18" s="56"/>
    </row>
    <row r="19" spans="2:17" outlineLevel="1" x14ac:dyDescent="0.2">
      <c r="B19" s="5" t="s">
        <v>28</v>
      </c>
      <c r="C19" s="5" t="s">
        <v>40</v>
      </c>
      <c r="G19" s="5">
        <v>1644</v>
      </c>
      <c r="H19" s="5">
        <v>1203</v>
      </c>
      <c r="I19" s="5">
        <v>1028</v>
      </c>
      <c r="J19" s="5">
        <v>1789</v>
      </c>
      <c r="K19" s="5">
        <v>1272</v>
      </c>
      <c r="L19" s="5">
        <v>1820</v>
      </c>
    </row>
    <row r="20" spans="2:17" s="19" customFormat="1" ht="11.25" outlineLevel="1" x14ac:dyDescent="0.2">
      <c r="C20" s="27" t="s">
        <v>109</v>
      </c>
      <c r="G20" s="19">
        <f t="shared" ref="G20:L20" si="4">G19/G21</f>
        <v>2.5328546998012541E-2</v>
      </c>
      <c r="H20" s="19">
        <f t="shared" si="4"/>
        <v>1.8775752278686476E-2</v>
      </c>
      <c r="I20" s="19">
        <f t="shared" si="4"/>
        <v>1.4366972733498245E-2</v>
      </c>
      <c r="J20" s="19">
        <f t="shared" si="4"/>
        <v>2.1915156860583342E-2</v>
      </c>
      <c r="K20" s="19">
        <f t="shared" si="4"/>
        <v>1.4291813667108605E-2</v>
      </c>
      <c r="L20" s="19">
        <f t="shared" si="4"/>
        <v>1.8207465060674877E-2</v>
      </c>
      <c r="M20" s="56"/>
      <c r="N20" s="56"/>
      <c r="O20" s="56"/>
      <c r="P20" s="56"/>
      <c r="Q20" s="56"/>
    </row>
    <row r="21" spans="2:17" outlineLevel="1" x14ac:dyDescent="0.2">
      <c r="B21" s="5" t="s">
        <v>41</v>
      </c>
      <c r="G21" s="5">
        <f t="shared" ref="G21:L21" si="5">G13+G15+G17-G19</f>
        <v>64907</v>
      </c>
      <c r="H21" s="5">
        <f t="shared" si="5"/>
        <v>64072</v>
      </c>
      <c r="I21" s="5">
        <f t="shared" si="5"/>
        <v>71553</v>
      </c>
      <c r="J21" s="5">
        <f t="shared" si="5"/>
        <v>81633</v>
      </c>
      <c r="K21" s="5">
        <f t="shared" si="5"/>
        <v>89002</v>
      </c>
      <c r="L21" s="5">
        <f t="shared" si="5"/>
        <v>99959</v>
      </c>
      <c r="M21" s="55">
        <f>'Income Statement'!J7*M12</f>
        <v>120514.18799999999</v>
      </c>
      <c r="N21" s="55">
        <f>'Income Statement'!K7*N12</f>
        <v>138591.31619999997</v>
      </c>
      <c r="O21" s="55">
        <f>'Income Statement'!L7*O12</f>
        <v>162151.83995399997</v>
      </c>
      <c r="P21" s="55">
        <f>'Income Statement'!M7*P12</f>
        <v>199446.76314341996</v>
      </c>
      <c r="Q21" s="55">
        <f>'Income Statement'!N7*Q12</f>
        <v>231358.24524636712</v>
      </c>
    </row>
    <row r="23" spans="2:17" x14ac:dyDescent="0.2">
      <c r="B23" s="5" t="s">
        <v>8</v>
      </c>
      <c r="G23" s="5">
        <v>19845</v>
      </c>
      <c r="H23" s="5">
        <v>20014</v>
      </c>
      <c r="I23" s="5">
        <v>23380</v>
      </c>
      <c r="J23" s="5">
        <v>23966</v>
      </c>
      <c r="K23" s="5">
        <v>25983</v>
      </c>
      <c r="L23" s="5">
        <v>29148</v>
      </c>
      <c r="M23" s="55">
        <f>'Income Statement'!J7*M24</f>
        <v>38057.111999999994</v>
      </c>
      <c r="N23" s="55">
        <f>'Income Statement'!K7*N24</f>
        <v>43765.678799999987</v>
      </c>
      <c r="O23" s="55">
        <f>'Income Statement'!L7*O24</f>
        <v>51205.844195999991</v>
      </c>
      <c r="P23" s="55">
        <f>'Income Statement'!M7*P24</f>
        <v>68231.787391169986</v>
      </c>
      <c r="Q23" s="55">
        <f>'Income Statement'!N7*Q24</f>
        <v>79148.873373757175</v>
      </c>
    </row>
    <row r="24" spans="2:17" x14ac:dyDescent="0.2">
      <c r="B24" s="25" t="s">
        <v>106</v>
      </c>
      <c r="C24" s="25"/>
      <c r="G24" s="19">
        <f>G23/'Income Statement'!D7</f>
        <v>7.8164079578083343E-2</v>
      </c>
      <c r="H24" s="19">
        <f>H23/'Income Statement'!E7</f>
        <v>6.3244179285587884E-2</v>
      </c>
      <c r="I24" s="19">
        <f>I23/'Income Statement'!F7</f>
        <v>6.729548705756383E-2</v>
      </c>
      <c r="J24" s="19">
        <f>J23/'Income Statement'!G7</f>
        <v>6.1291923051348542E-2</v>
      </c>
      <c r="K24" s="19">
        <f>K23/'Income Statement'!H7</f>
        <v>5.803261333255906E-2</v>
      </c>
      <c r="L24" s="19">
        <f>L23/'Income Statement'!I7</f>
        <v>5.5144909576953713E-2</v>
      </c>
      <c r="M24" s="56">
        <f>Assumptions!I35</f>
        <v>0.06</v>
      </c>
      <c r="N24" s="56">
        <f>Assumptions!J35</f>
        <v>0.06</v>
      </c>
      <c r="O24" s="56">
        <f>Assumptions!K35</f>
        <v>0.06</v>
      </c>
      <c r="P24" s="56">
        <f>Assumptions!L35</f>
        <v>6.5000000000000002E-2</v>
      </c>
      <c r="Q24" s="56">
        <f>Assumptions!M35</f>
        <v>6.5000000000000002E-2</v>
      </c>
    </row>
    <row r="25" spans="2:17" x14ac:dyDescent="0.2">
      <c r="B25" s="5" t="s">
        <v>9</v>
      </c>
      <c r="G25" s="5">
        <v>0</v>
      </c>
      <c r="H25" s="5">
        <v>0</v>
      </c>
      <c r="I25" s="5">
        <v>4018</v>
      </c>
      <c r="J25" s="5">
        <v>0</v>
      </c>
      <c r="K25" s="5">
        <v>0</v>
      </c>
      <c r="L25" s="5">
        <v>2064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</row>
    <row r="26" spans="2:17" x14ac:dyDescent="0.2">
      <c r="B26" s="5" t="s">
        <v>42</v>
      </c>
      <c r="G26" s="5">
        <v>7866</v>
      </c>
      <c r="H26" s="5">
        <v>9216</v>
      </c>
      <c r="I26" s="5">
        <v>5391</v>
      </c>
      <c r="J26" s="5">
        <v>5437</v>
      </c>
      <c r="K26" s="5">
        <v>6274</v>
      </c>
      <c r="L26" s="5">
        <v>4864</v>
      </c>
      <c r="M26" s="55">
        <f>'Income Statement'!J15*M27</f>
        <v>8372.5646399999987</v>
      </c>
      <c r="N26" s="55">
        <f>'Income Statement'!K15*N27</f>
        <v>9628.4493359999997</v>
      </c>
      <c r="O26" s="55">
        <f>'Income Statement'!L15*O27</f>
        <v>11435.971870439998</v>
      </c>
      <c r="P26" s="55">
        <f>'Income Statement'!M15*P27</f>
        <v>13856.301439437599</v>
      </c>
      <c r="Q26" s="55">
        <f>'Income Statement'!N15*Q27</f>
        <v>16073.309669747612</v>
      </c>
    </row>
    <row r="27" spans="2:17" s="16" customFormat="1" ht="11.25" x14ac:dyDescent="0.2">
      <c r="C27" s="14" t="s">
        <v>110</v>
      </c>
      <c r="D27" s="24"/>
      <c r="E27" s="24"/>
      <c r="F27" s="24"/>
      <c r="G27" s="19">
        <f>G26/'Income Statement'!D15</f>
        <v>4.5886758992428042E-2</v>
      </c>
      <c r="H27" s="19">
        <f>H26/'Income Statement'!E15</f>
        <v>4.3842289541787184E-2</v>
      </c>
      <c r="I27" s="19">
        <f>I26/'Income Statement'!F15</f>
        <v>2.1299376545795043E-2</v>
      </c>
      <c r="J27" s="19">
        <f>J26/'Income Statement'!G15</f>
        <v>2.0397444410680053E-2</v>
      </c>
      <c r="K27" s="19">
        <f>K26/'Income Statement'!H15</f>
        <v>2.1538303094800804E-2</v>
      </c>
      <c r="L27" s="19">
        <f>L26/'Income Statement'!I15</f>
        <v>1.3624306390034984E-2</v>
      </c>
      <c r="M27" s="56">
        <f>Assumptions!I37</f>
        <v>0.02</v>
      </c>
      <c r="N27" s="56">
        <f>Assumptions!J37</f>
        <v>0.02</v>
      </c>
      <c r="O27" s="56">
        <f>Assumptions!K37</f>
        <v>0.02</v>
      </c>
      <c r="P27" s="56">
        <f>Assumptions!L37</f>
        <v>0.02</v>
      </c>
      <c r="Q27" s="56">
        <f>Assumptions!M37</f>
        <v>0.02</v>
      </c>
    </row>
    <row r="28" spans="2:17" x14ac:dyDescent="0.2">
      <c r="B28" s="5" t="s">
        <v>64</v>
      </c>
      <c r="G28" s="5">
        <v>0</v>
      </c>
      <c r="H28" s="5">
        <v>0</v>
      </c>
      <c r="I28" s="5">
        <v>0</v>
      </c>
      <c r="J28" s="5">
        <v>3755</v>
      </c>
      <c r="K28" s="5">
        <v>0</v>
      </c>
      <c r="L28" s="5"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</row>
    <row r="30" spans="2:17" x14ac:dyDescent="0.2">
      <c r="C30" s="5" t="s">
        <v>10</v>
      </c>
      <c r="G30" s="5">
        <f t="shared" ref="G30:L30" si="6">SUM(G8,G9,G11,G23,G25,G26, G28)</f>
        <v>107863</v>
      </c>
      <c r="H30" s="5">
        <f t="shared" si="6"/>
        <v>225992</v>
      </c>
      <c r="I30" s="5">
        <f t="shared" si="6"/>
        <v>221088</v>
      </c>
      <c r="J30" s="5">
        <f t="shared" si="6"/>
        <v>293111</v>
      </c>
      <c r="K30" s="5">
        <f t="shared" si="6"/>
        <v>373807</v>
      </c>
      <c r="L30" s="5">
        <f t="shared" si="6"/>
        <v>411350</v>
      </c>
      <c r="M30" s="100">
        <f>SUM(M$9,M$11,M$23,M$25,M$26, M$28)</f>
        <v>217686.68063999998</v>
      </c>
      <c r="N30" s="100">
        <f>SUM(N9,N11,N23,N25,N26, N28)</f>
        <v>250339.68273599996</v>
      </c>
      <c r="O30" s="100">
        <f>SUM(O9,O11,O23,O25,O26, O28)</f>
        <v>293068.11494843994</v>
      </c>
      <c r="P30" s="100">
        <f>SUM(P9,P11,P23,P25,P26, P28)</f>
        <v>365512.43645546754</v>
      </c>
      <c r="Q30" s="100">
        <f>SUM(Q9,Q11,Q23,Q25,Q26, Q28)</f>
        <v>423994.42628834228</v>
      </c>
    </row>
    <row r="31" spans="2:17" x14ac:dyDescent="0.2">
      <c r="C31" s="5" t="s">
        <v>238</v>
      </c>
      <c r="M31" s="55">
        <f>M30+M8</f>
        <v>537179.02259999979</v>
      </c>
      <c r="N31" s="55">
        <f>N30+N8</f>
        <v>656274.61635000003</v>
      </c>
      <c r="O31" s="55">
        <f>O30+O8</f>
        <v>787263.93260557228</v>
      </c>
      <c r="P31" s="55">
        <f>P30+P8</f>
        <v>927161.0384518702</v>
      </c>
      <c r="Q31" s="55">
        <f>Q30+Q8</f>
        <v>1133834.2760170847</v>
      </c>
    </row>
    <row r="33" spans="2:17" x14ac:dyDescent="0.2">
      <c r="B33" s="5" t="s">
        <v>11</v>
      </c>
      <c r="D33" s="5"/>
      <c r="E33" s="5"/>
      <c r="G33" s="5">
        <f t="shared" ref="G33:L33" si="7">G46</f>
        <v>114997</v>
      </c>
      <c r="H33" s="5">
        <f t="shared" si="7"/>
        <v>197768</v>
      </c>
      <c r="I33" s="5">
        <f t="shared" si="7"/>
        <v>244361</v>
      </c>
      <c r="J33" s="5">
        <f t="shared" si="7"/>
        <v>257667</v>
      </c>
      <c r="K33" s="5">
        <f t="shared" si="7"/>
        <v>295270</v>
      </c>
      <c r="L33" s="5">
        <f t="shared" si="7"/>
        <v>341943</v>
      </c>
      <c r="M33" s="55">
        <f>'Income Statement'!J7*'Balance Sheet'!M34</f>
        <v>418628.23199999996</v>
      </c>
      <c r="N33" s="55">
        <f>'Income Statement'!K7*'Balance Sheet'!N34</f>
        <v>481422.46679999994</v>
      </c>
      <c r="O33" s="55">
        <f>'Income Statement'!L7*'Balance Sheet'!O34</f>
        <v>563264.28615599987</v>
      </c>
      <c r="P33" s="55">
        <f>'Income Statement'!M7*'Balance Sheet'!P34</f>
        <v>692815.07197187992</v>
      </c>
      <c r="Q33" s="55">
        <f>'Income Statement'!N7*'Balance Sheet'!Q34</f>
        <v>803665.48348738055</v>
      </c>
    </row>
    <row r="34" spans="2:17" s="16" customFormat="1" ht="11.25" x14ac:dyDescent="0.2">
      <c r="B34" s="32" t="s">
        <v>205</v>
      </c>
      <c r="F34" s="24"/>
      <c r="G34" s="19">
        <f>G33/'Income Statement'!D7</f>
        <v>0.45294203372339881</v>
      </c>
      <c r="H34" s="19">
        <f>H33/'Income Statement'!E7</f>
        <v>0.62494628005157116</v>
      </c>
      <c r="I34" s="19">
        <f>I33/'Income Statement'!F7</f>
        <v>0.70335297317679024</v>
      </c>
      <c r="J34" s="19">
        <f>J33/'Income Statement'!G7</f>
        <v>0.65897129003053601</v>
      </c>
      <c r="K34" s="19">
        <f>K33/'Income Statement'!H7</f>
        <v>0.6594808043222381</v>
      </c>
      <c r="L34" s="19">
        <f>L33/'Income Statement'!I7</f>
        <v>0.64691971371868684</v>
      </c>
      <c r="M34" s="56">
        <f>Assumptions!I40</f>
        <v>0.66</v>
      </c>
      <c r="N34" s="56">
        <f>Assumptions!J40</f>
        <v>0.66</v>
      </c>
      <c r="O34" s="56">
        <f>Assumptions!K40</f>
        <v>0.66</v>
      </c>
      <c r="P34" s="56">
        <f>Assumptions!L40</f>
        <v>0.66</v>
      </c>
      <c r="Q34" s="56">
        <f>Assumptions!M40</f>
        <v>0.66</v>
      </c>
    </row>
    <row r="35" spans="2:17" s="16" customFormat="1" ht="11.25" hidden="1" outlineLevel="1" x14ac:dyDescent="0.2">
      <c r="B35" s="26" t="s">
        <v>107</v>
      </c>
      <c r="F35" s="24"/>
      <c r="H35" s="19">
        <f>(H33/G33)-1</f>
        <v>0.71976660260702463</v>
      </c>
      <c r="I35" s="19">
        <f>(I33/H33)-1</f>
        <v>0.2355942316249342</v>
      </c>
      <c r="J35" s="19">
        <f>(J33/I33)-1</f>
        <v>5.4452224372956382E-2</v>
      </c>
      <c r="K35" s="19">
        <f>(K33/J33)-1</f>
        <v>0.14593642181575439</v>
      </c>
      <c r="L35" s="19">
        <f>(L33/K33)-1</f>
        <v>0.15806888610424363</v>
      </c>
      <c r="M35" s="56">
        <f>Assumptions!I39</f>
        <v>0.16</v>
      </c>
      <c r="N35" s="56">
        <f>Assumptions!J39</f>
        <v>0.16</v>
      </c>
      <c r="O35" s="56">
        <f>Assumptions!K39</f>
        <v>0.16</v>
      </c>
      <c r="P35" s="56">
        <f>Assumptions!L39</f>
        <v>0.16</v>
      </c>
      <c r="Q35" s="56">
        <f>Assumptions!M39</f>
        <v>0.16</v>
      </c>
    </row>
    <row r="36" spans="2:17" hidden="1" outlineLevel="1" x14ac:dyDescent="0.2">
      <c r="C36" s="5" t="s">
        <v>24</v>
      </c>
      <c r="D36" s="5"/>
      <c r="E36" s="5"/>
      <c r="G36" s="5">
        <v>11625</v>
      </c>
      <c r="H36" s="5">
        <v>13043</v>
      </c>
      <c r="I36" s="5">
        <v>13860</v>
      </c>
      <c r="J36" s="5">
        <v>10988</v>
      </c>
      <c r="K36" s="5">
        <v>9929</v>
      </c>
      <c r="L36" s="5">
        <v>17059</v>
      </c>
    </row>
    <row r="37" spans="2:17" hidden="1" outlineLevel="1" x14ac:dyDescent="0.2">
      <c r="C37" s="25" t="s">
        <v>111</v>
      </c>
      <c r="D37" s="5"/>
      <c r="E37" s="5"/>
      <c r="G37" s="19">
        <f t="shared" ref="G37:L37" si="8">G36/G46</f>
        <v>0.10108959364157326</v>
      </c>
      <c r="H37" s="19">
        <f t="shared" si="8"/>
        <v>6.5951013308523113E-2</v>
      </c>
      <c r="I37" s="19">
        <f t="shared" si="8"/>
        <v>5.6719361927639843E-2</v>
      </c>
      <c r="J37" s="19">
        <f t="shared" si="8"/>
        <v>4.2644188041153892E-2</v>
      </c>
      <c r="K37" s="19">
        <f t="shared" si="8"/>
        <v>3.3626850001693367E-2</v>
      </c>
      <c r="L37" s="19">
        <f t="shared" si="8"/>
        <v>4.9888431697680605E-2</v>
      </c>
    </row>
    <row r="38" spans="2:17" hidden="1" outlineLevel="1" x14ac:dyDescent="0.2">
      <c r="C38" s="5" t="s">
        <v>25</v>
      </c>
      <c r="D38" s="5"/>
      <c r="E38" s="5"/>
      <c r="G38" s="5">
        <v>22369</v>
      </c>
      <c r="H38" s="5">
        <v>30294</v>
      </c>
      <c r="I38" s="5">
        <v>35827</v>
      </c>
      <c r="J38" s="5">
        <v>39747</v>
      </c>
      <c r="K38" s="5">
        <v>44650</v>
      </c>
      <c r="L38" s="5">
        <v>38734</v>
      </c>
    </row>
    <row r="39" spans="2:17" hidden="1" outlineLevel="1" x14ac:dyDescent="0.2">
      <c r="C39" s="25" t="s">
        <v>111</v>
      </c>
      <c r="D39" s="5"/>
      <c r="E39" s="5"/>
      <c r="G39" s="19">
        <f t="shared" ref="G39:L39" si="9">G38/G46</f>
        <v>0.19451811786394427</v>
      </c>
      <c r="H39" s="19">
        <f t="shared" si="9"/>
        <v>0.15317948303062173</v>
      </c>
      <c r="I39" s="19">
        <f t="shared" si="9"/>
        <v>0.14661504904628808</v>
      </c>
      <c r="J39" s="19">
        <f t="shared" si="9"/>
        <v>0.15425723899451618</v>
      </c>
      <c r="K39" s="19">
        <f t="shared" si="9"/>
        <v>0.15121752971856267</v>
      </c>
      <c r="L39" s="19">
        <f t="shared" si="9"/>
        <v>0.11327618930640487</v>
      </c>
    </row>
    <row r="40" spans="2:17" hidden="1" outlineLevel="1" x14ac:dyDescent="0.2">
      <c r="C40" s="5" t="s">
        <v>26</v>
      </c>
      <c r="D40" s="5"/>
      <c r="E40" s="5"/>
      <c r="G40" s="5">
        <v>39891</v>
      </c>
      <c r="H40" s="5">
        <v>77967</v>
      </c>
      <c r="I40" s="5">
        <v>85076</v>
      </c>
      <c r="J40" s="5">
        <v>105153</v>
      </c>
      <c r="K40" s="5">
        <v>125168</v>
      </c>
      <c r="L40" s="5">
        <v>155323</v>
      </c>
    </row>
    <row r="41" spans="2:17" hidden="1" outlineLevel="1" x14ac:dyDescent="0.2">
      <c r="C41" s="25" t="s">
        <v>111</v>
      </c>
      <c r="D41" s="5"/>
      <c r="E41" s="5"/>
      <c r="G41" s="19">
        <f t="shared" ref="G41:L41" si="10">G40/G46</f>
        <v>0.34688731010374185</v>
      </c>
      <c r="H41" s="19">
        <f t="shared" si="10"/>
        <v>0.39423465879212005</v>
      </c>
      <c r="I41" s="19">
        <f t="shared" si="10"/>
        <v>0.34815702996795722</v>
      </c>
      <c r="J41" s="19">
        <f t="shared" si="10"/>
        <v>0.40809649664101338</v>
      </c>
      <c r="K41" s="19">
        <f t="shared" si="10"/>
        <v>0.42391031936871337</v>
      </c>
      <c r="L41" s="19">
        <f t="shared" si="10"/>
        <v>0.45423652480091709</v>
      </c>
    </row>
    <row r="42" spans="2:17" hidden="1" outlineLevel="1" x14ac:dyDescent="0.2">
      <c r="C42" s="5" t="s">
        <v>27</v>
      </c>
      <c r="D42" s="5"/>
      <c r="E42" s="5"/>
      <c r="G42" s="5">
        <v>75311</v>
      </c>
      <c r="H42" s="5">
        <v>124238</v>
      </c>
      <c r="I42" s="5">
        <v>179222</v>
      </c>
      <c r="J42" s="5">
        <v>196231</v>
      </c>
      <c r="K42" s="5">
        <v>233407</v>
      </c>
      <c r="L42" s="5">
        <v>263707</v>
      </c>
    </row>
    <row r="43" spans="2:17" hidden="1" outlineLevel="1" x14ac:dyDescent="0.2">
      <c r="C43" s="25" t="s">
        <v>111</v>
      </c>
      <c r="D43" s="5"/>
      <c r="E43" s="5"/>
      <c r="G43" s="19">
        <f t="shared" ref="G43:L43" si="11">G42/G46</f>
        <v>0.65489534509595904</v>
      </c>
      <c r="H43" s="19">
        <f t="shared" si="11"/>
        <v>0.62820072003559724</v>
      </c>
      <c r="I43" s="19">
        <f t="shared" si="11"/>
        <v>0.73343127585825885</v>
      </c>
      <c r="J43" s="19">
        <f t="shared" si="11"/>
        <v>0.76156822565559423</v>
      </c>
      <c r="K43" s="19">
        <f t="shared" si="11"/>
        <v>0.79048667321434618</v>
      </c>
      <c r="L43" s="19">
        <f t="shared" si="11"/>
        <v>0.7712016330207081</v>
      </c>
    </row>
    <row r="44" spans="2:17" hidden="1" outlineLevel="1" x14ac:dyDescent="0.2">
      <c r="B44" s="5" t="s">
        <v>28</v>
      </c>
      <c r="C44" s="5" t="s">
        <v>29</v>
      </c>
      <c r="D44" s="5"/>
      <c r="E44" s="5"/>
      <c r="G44" s="5">
        <v>34199</v>
      </c>
      <c r="H44" s="5">
        <v>47774</v>
      </c>
      <c r="I44" s="5">
        <v>69624</v>
      </c>
      <c r="J44" s="5">
        <v>94452</v>
      </c>
      <c r="K44" s="5">
        <v>117884</v>
      </c>
      <c r="L44" s="5">
        <v>132880</v>
      </c>
    </row>
    <row r="45" spans="2:17" hidden="1" outlineLevel="1" x14ac:dyDescent="0.2">
      <c r="C45" s="25" t="s">
        <v>111</v>
      </c>
      <c r="D45" s="5"/>
      <c r="E45" s="5"/>
      <c r="G45" s="19">
        <f t="shared" ref="G45:L45" si="12">G44/G46</f>
        <v>0.2973903667052184</v>
      </c>
      <c r="H45" s="19">
        <f t="shared" si="12"/>
        <v>0.24156587516686218</v>
      </c>
      <c r="I45" s="19">
        <f t="shared" si="12"/>
        <v>0.28492271680014403</v>
      </c>
      <c r="J45" s="19">
        <f t="shared" si="12"/>
        <v>0.36656614933227771</v>
      </c>
      <c r="K45" s="19">
        <f t="shared" si="12"/>
        <v>0.39924137230331563</v>
      </c>
      <c r="L45" s="19">
        <f t="shared" si="12"/>
        <v>0.3886027788257107</v>
      </c>
    </row>
    <row r="46" spans="2:17" hidden="1" outlineLevel="1" x14ac:dyDescent="0.2">
      <c r="C46" s="5" t="s">
        <v>30</v>
      </c>
      <c r="D46" s="5"/>
      <c r="E46" s="5"/>
      <c r="G46" s="5">
        <f t="shared" ref="G46:L46" si="13">G36+G38+G40+G42-G44</f>
        <v>114997</v>
      </c>
      <c r="H46" s="5">
        <f t="shared" si="13"/>
        <v>197768</v>
      </c>
      <c r="I46" s="5">
        <f t="shared" si="13"/>
        <v>244361</v>
      </c>
      <c r="J46" s="5">
        <f t="shared" si="13"/>
        <v>257667</v>
      </c>
      <c r="K46" s="5">
        <f>K36+K38+K40+K42-K44</f>
        <v>295270</v>
      </c>
      <c r="L46" s="5">
        <f t="shared" si="13"/>
        <v>341943</v>
      </c>
    </row>
    <row r="47" spans="2:17" collapsed="1" x14ac:dyDescent="0.2">
      <c r="B47" s="5" t="s">
        <v>12</v>
      </c>
      <c r="D47" s="5"/>
      <c r="E47" s="5"/>
      <c r="G47" s="5">
        <f t="shared" ref="G47:L47" si="14">G50</f>
        <v>4911</v>
      </c>
      <c r="H47" s="5">
        <f t="shared" si="14"/>
        <v>5711</v>
      </c>
      <c r="I47" s="5">
        <f t="shared" si="14"/>
        <v>4405</v>
      </c>
      <c r="J47" s="5">
        <f t="shared" si="14"/>
        <v>2941</v>
      </c>
      <c r="K47" s="5">
        <f t="shared" si="14"/>
        <v>1938</v>
      </c>
      <c r="L47" s="5">
        <f t="shared" si="14"/>
        <v>1874</v>
      </c>
    </row>
    <row r="48" spans="2:17" hidden="1" outlineLevel="1" x14ac:dyDescent="0.2">
      <c r="C48" s="5" t="s">
        <v>60</v>
      </c>
      <c r="D48" s="5"/>
      <c r="E48" s="5"/>
      <c r="G48" s="5">
        <f>8461+284</f>
        <v>8745</v>
      </c>
      <c r="H48" s="5">
        <f>10861+284</f>
        <v>11145</v>
      </c>
      <c r="I48" s="5">
        <f>11288+284</f>
        <v>11572</v>
      </c>
      <c r="J48" s="5">
        <v>11477</v>
      </c>
      <c r="K48" s="5">
        <v>11753</v>
      </c>
      <c r="L48" s="5">
        <v>10071</v>
      </c>
    </row>
    <row r="49" spans="1:17" hidden="1" outlineLevel="1" x14ac:dyDescent="0.2">
      <c r="C49" s="5" t="s">
        <v>61</v>
      </c>
      <c r="D49" s="5"/>
      <c r="E49" s="5"/>
      <c r="G49" s="5">
        <v>-3834</v>
      </c>
      <c r="H49" s="5">
        <v>-5434</v>
      </c>
      <c r="I49" s="5">
        <v>-7167</v>
      </c>
      <c r="J49" s="5">
        <v>-8536</v>
      </c>
      <c r="K49" s="5">
        <v>-9815</v>
      </c>
      <c r="L49" s="5">
        <v>-8197</v>
      </c>
    </row>
    <row r="50" spans="1:17" hidden="1" outlineLevel="1" x14ac:dyDescent="0.2">
      <c r="C50" s="5" t="s">
        <v>62</v>
      </c>
      <c r="D50" s="5"/>
      <c r="E50" s="5"/>
      <c r="G50" s="5">
        <f t="shared" ref="G50:L50" si="15">G48+G49</f>
        <v>4911</v>
      </c>
      <c r="H50" s="5">
        <f t="shared" si="15"/>
        <v>5711</v>
      </c>
      <c r="I50" s="5">
        <f t="shared" si="15"/>
        <v>4405</v>
      </c>
      <c r="J50" s="5">
        <f t="shared" si="15"/>
        <v>2941</v>
      </c>
      <c r="K50" s="5">
        <f t="shared" si="15"/>
        <v>1938</v>
      </c>
      <c r="L50" s="5">
        <f t="shared" si="15"/>
        <v>1874</v>
      </c>
    </row>
    <row r="51" spans="1:17" collapsed="1" x14ac:dyDescent="0.2">
      <c r="B51" s="5" t="s">
        <v>13</v>
      </c>
      <c r="D51" s="5"/>
      <c r="E51" s="5"/>
      <c r="G51" s="5">
        <v>82753</v>
      </c>
      <c r="H51" s="5">
        <v>102920</v>
      </c>
      <c r="I51" s="5">
        <v>109113</v>
      </c>
      <c r="J51" s="5">
        <v>112691</v>
      </c>
      <c r="K51" s="5">
        <v>116375</v>
      </c>
      <c r="L51" s="5">
        <v>112291</v>
      </c>
      <c r="M51" s="55">
        <f>L51*(1+M53)</f>
        <v>114536.82</v>
      </c>
      <c r="N51" s="55">
        <f>M51*(1+N53)</f>
        <v>116827.55640000002</v>
      </c>
      <c r="O51" s="55">
        <f>N51*(1+O53)</f>
        <v>119164.10752800002</v>
      </c>
      <c r="P51" s="55">
        <f>O51*(1+P53)</f>
        <v>121547.38967856002</v>
      </c>
      <c r="Q51" s="55">
        <f>P51*(1+Q53)</f>
        <v>123978.33747213123</v>
      </c>
    </row>
    <row r="52" spans="1:17" x14ac:dyDescent="0.2">
      <c r="B52" s="25" t="s">
        <v>108</v>
      </c>
      <c r="D52" s="5"/>
      <c r="E52" s="5"/>
      <c r="G52" s="19">
        <f t="shared" ref="G52:L52" si="16">G51/G59</f>
        <v>0.26265457176954521</v>
      </c>
      <c r="H52" s="19">
        <f t="shared" si="16"/>
        <v>0.19207010969569616</v>
      </c>
      <c r="I52" s="19">
        <f t="shared" si="16"/>
        <v>0.18585110858645645</v>
      </c>
      <c r="J52" s="19">
        <f t="shared" si="16"/>
        <v>0.16744004291086634</v>
      </c>
      <c r="K52" s="19">
        <f t="shared" si="16"/>
        <v>0.14665519049107278</v>
      </c>
      <c r="L52" s="19">
        <f t="shared" si="16"/>
        <v>0.1255061724255481</v>
      </c>
    </row>
    <row r="53" spans="1:17" x14ac:dyDescent="0.2">
      <c r="B53" s="25" t="s">
        <v>107</v>
      </c>
      <c r="D53" s="5"/>
      <c r="E53" s="5"/>
      <c r="G53" s="19"/>
      <c r="H53" s="19">
        <f>(H51/G51)-1</f>
        <v>0.24370113470206523</v>
      </c>
      <c r="I53" s="19">
        <f>(I51/H51)-1</f>
        <v>6.0172949863972036E-2</v>
      </c>
      <c r="J53" s="19">
        <f>(J51/I51)-1</f>
        <v>3.2791693015497669E-2</v>
      </c>
      <c r="K53" s="19">
        <f>(K51/J51)-1</f>
        <v>3.2691164334330169E-2</v>
      </c>
      <c r="L53" s="19">
        <f>(L51/K51)-1</f>
        <v>-3.509344790547797E-2</v>
      </c>
      <c r="M53" s="56">
        <f>Assumptions!I41</f>
        <v>0.02</v>
      </c>
      <c r="N53" s="56">
        <f>Assumptions!J41</f>
        <v>0.02</v>
      </c>
      <c r="O53" s="56">
        <f>Assumptions!K41</f>
        <v>0.02</v>
      </c>
      <c r="P53" s="56">
        <f>Assumptions!L41</f>
        <v>0.02</v>
      </c>
      <c r="Q53" s="56">
        <f>Assumptions!M41</f>
        <v>0.02</v>
      </c>
    </row>
    <row r="54" spans="1:17" x14ac:dyDescent="0.2">
      <c r="B54" s="5" t="s">
        <v>14</v>
      </c>
      <c r="D54" s="5"/>
      <c r="E54" s="5"/>
      <c r="G54" s="5">
        <v>1085</v>
      </c>
      <c r="H54" s="5">
        <v>0</v>
      </c>
      <c r="I54" s="5">
        <v>0</v>
      </c>
      <c r="J54" s="5">
        <v>0</v>
      </c>
      <c r="K54" s="5">
        <v>0</v>
      </c>
      <c r="L54" s="5">
        <v>5137</v>
      </c>
      <c r="M54" s="55">
        <v>0</v>
      </c>
      <c r="N54" s="55">
        <v>0</v>
      </c>
      <c r="O54" s="55">
        <v>0</v>
      </c>
      <c r="P54" s="55">
        <v>0</v>
      </c>
      <c r="Q54" s="55">
        <v>0</v>
      </c>
    </row>
    <row r="55" spans="1:17" x14ac:dyDescent="0.2">
      <c r="B55" s="5" t="s">
        <v>15</v>
      </c>
      <c r="D55" s="5"/>
      <c r="E55" s="5"/>
      <c r="G55" s="5">
        <v>3455</v>
      </c>
      <c r="H55" s="5">
        <v>3455</v>
      </c>
      <c r="I55" s="5">
        <v>8132</v>
      </c>
      <c r="J55" s="5">
        <v>6613</v>
      </c>
      <c r="K55" s="5">
        <v>6138</v>
      </c>
      <c r="L55" s="5">
        <v>22110</v>
      </c>
    </row>
    <row r="56" spans="1:17" hidden="1" outlineLevel="1" x14ac:dyDescent="0.2">
      <c r="D56" s="5"/>
      <c r="E56" s="5"/>
      <c r="M56" s="55">
        <f>M30+M33+M47+M51+M54+M55</f>
        <v>750851.73264000006</v>
      </c>
      <c r="N56" s="55">
        <f>N30+N33+N47+N51+N54+N55</f>
        <v>848589.70593599987</v>
      </c>
      <c r="O56" s="55">
        <f>O30+O33+O47+O51+O54+O55</f>
        <v>975496.50863243977</v>
      </c>
      <c r="P56" s="55">
        <f>P30+P33+P47+P51+P54+P55</f>
        <v>1179874.8981059075</v>
      </c>
      <c r="Q56" s="55">
        <f>Q30+Q33+Q47+Q51+Q54+Q55</f>
        <v>1351638.247247854</v>
      </c>
    </row>
    <row r="57" spans="1:17" hidden="1" outlineLevel="1" x14ac:dyDescent="0.2">
      <c r="D57" s="5"/>
      <c r="E57" s="5"/>
    </row>
    <row r="58" spans="1:17" collapsed="1" x14ac:dyDescent="0.2">
      <c r="D58" s="5"/>
      <c r="E58" s="5"/>
    </row>
    <row r="59" spans="1:17" x14ac:dyDescent="0.2">
      <c r="A59" s="2" t="s">
        <v>16</v>
      </c>
      <c r="D59" s="5"/>
      <c r="E59" s="5"/>
      <c r="G59" s="5">
        <f t="shared" ref="G59:L59" si="17">G30+G33+G47+G51+G54+G55</f>
        <v>315064</v>
      </c>
      <c r="H59" s="5">
        <f t="shared" si="17"/>
        <v>535846</v>
      </c>
      <c r="I59" s="5">
        <f t="shared" si="17"/>
        <v>587099</v>
      </c>
      <c r="J59" s="5">
        <f t="shared" si="17"/>
        <v>673023</v>
      </c>
      <c r="K59" s="5">
        <f t="shared" si="17"/>
        <v>793528</v>
      </c>
      <c r="L59" s="5">
        <f t="shared" si="17"/>
        <v>894705</v>
      </c>
      <c r="M59" s="55">
        <f>M56+M8</f>
        <v>1070344.0745999999</v>
      </c>
      <c r="N59" s="55">
        <f>N56+N8</f>
        <v>1254524.63955</v>
      </c>
      <c r="O59" s="55">
        <f>O56+O8</f>
        <v>1469692.3262895721</v>
      </c>
      <c r="P59" s="55">
        <f>P56+P8</f>
        <v>1741523.5001023102</v>
      </c>
      <c r="Q59" s="55">
        <f>Q56+Q8</f>
        <v>2061478.0969765964</v>
      </c>
    </row>
    <row r="61" spans="1:17" x14ac:dyDescent="0.2">
      <c r="B61" s="25" t="s">
        <v>107</v>
      </c>
      <c r="H61" s="19">
        <f t="shared" ref="H61:Q61" si="18">(H59/G59)-1</f>
        <v>0.70075286291039274</v>
      </c>
      <c r="I61" s="19">
        <f t="shared" si="18"/>
        <v>9.5648749827375701E-2</v>
      </c>
      <c r="J61" s="19">
        <f t="shared" si="18"/>
        <v>0.14635351107734818</v>
      </c>
      <c r="K61" s="19">
        <f t="shared" si="18"/>
        <v>0.17905034449045565</v>
      </c>
      <c r="L61" s="19">
        <f t="shared" si="18"/>
        <v>0.12750274722505073</v>
      </c>
      <c r="M61" s="56">
        <f t="shared" si="18"/>
        <v>0.19630948144919258</v>
      </c>
      <c r="N61" s="56">
        <f t="shared" si="18"/>
        <v>0.1720760354737616</v>
      </c>
      <c r="O61" s="56">
        <f t="shared" si="18"/>
        <v>0.1715133206285635</v>
      </c>
      <c r="P61" s="56">
        <f t="shared" si="18"/>
        <v>0.18495787788387719</v>
      </c>
      <c r="Q61" s="56">
        <f t="shared" si="18"/>
        <v>0.18372109067462472</v>
      </c>
    </row>
    <row r="63" spans="1:17" s="3" customFormat="1" ht="15.75" x14ac:dyDescent="0.25">
      <c r="A63" s="3" t="s">
        <v>56</v>
      </c>
    </row>
    <row r="65" spans="1:17" x14ac:dyDescent="0.2">
      <c r="A65" s="28" t="s">
        <v>112</v>
      </c>
      <c r="D65" s="5"/>
      <c r="E65" s="5"/>
    </row>
    <row r="66" spans="1:17" x14ac:dyDescent="0.2">
      <c r="B66" s="5" t="s">
        <v>66</v>
      </c>
      <c r="D66" s="5"/>
      <c r="E66" s="5"/>
      <c r="G66" s="5">
        <v>303</v>
      </c>
      <c r="H66" s="5">
        <v>325</v>
      </c>
      <c r="I66" s="5">
        <v>91</v>
      </c>
      <c r="J66" s="5">
        <v>0</v>
      </c>
      <c r="K66" s="5">
        <v>0</v>
      </c>
      <c r="L66" s="5">
        <v>0</v>
      </c>
      <c r="M66" s="55">
        <f>L66*M67</f>
        <v>0</v>
      </c>
      <c r="N66" s="55">
        <f>M66*N67</f>
        <v>0</v>
      </c>
      <c r="O66" s="55">
        <f>N66*O67</f>
        <v>0</v>
      </c>
      <c r="P66" s="55">
        <f>O66*P67</f>
        <v>0</v>
      </c>
      <c r="Q66" s="55">
        <f>P66*Q67</f>
        <v>0</v>
      </c>
    </row>
    <row r="67" spans="1:17" s="16" customFormat="1" ht="11.25" x14ac:dyDescent="0.2">
      <c r="B67" s="14" t="s">
        <v>113</v>
      </c>
      <c r="F67" s="24"/>
      <c r="G67" s="19">
        <f>G66/(G89+G66)</f>
        <v>0.425561797752809</v>
      </c>
      <c r="H67" s="19">
        <f>H66/(H89+H66)</f>
        <v>0.79462102689486558</v>
      </c>
      <c r="I67" s="19">
        <f>I66/(I89+I66)</f>
        <v>0.85046728971962615</v>
      </c>
      <c r="J67" s="19">
        <v>0</v>
      </c>
      <c r="K67" s="19">
        <v>0</v>
      </c>
      <c r="L67" s="19">
        <v>0</v>
      </c>
      <c r="M67" s="61">
        <f>Assumptions!I47</f>
        <v>0</v>
      </c>
      <c r="N67" s="61">
        <f>Assumptions!J47</f>
        <v>0</v>
      </c>
      <c r="O67" s="61">
        <f>Assumptions!K47</f>
        <v>0</v>
      </c>
      <c r="P67" s="61">
        <f>Assumptions!L47</f>
        <v>0</v>
      </c>
      <c r="Q67" s="61">
        <f>Assumptions!M47</f>
        <v>0</v>
      </c>
    </row>
    <row r="68" spans="1:17" x14ac:dyDescent="0.2">
      <c r="B68" s="5" t="s">
        <v>17</v>
      </c>
      <c r="D68" s="5"/>
      <c r="E68" s="5"/>
      <c r="G68" s="5">
        <f t="shared" ref="G68:L68" si="19">G75</f>
        <v>26769</v>
      </c>
      <c r="H68" s="5">
        <f t="shared" si="19"/>
        <v>31892</v>
      </c>
      <c r="I68" s="5">
        <f>I75</f>
        <v>38308</v>
      </c>
      <c r="J68" s="5">
        <f t="shared" si="19"/>
        <v>44080</v>
      </c>
      <c r="K68" s="5">
        <f t="shared" si="19"/>
        <v>56965</v>
      </c>
      <c r="L68" s="5">
        <f t="shared" si="19"/>
        <v>60644</v>
      </c>
      <c r="M68" s="55">
        <f>'Income Statement'!J7*M69</f>
        <v>72942.797999999995</v>
      </c>
      <c r="N68" s="55">
        <f>'Income Statement'!K7*N69</f>
        <v>83884.217699999994</v>
      </c>
      <c r="O68" s="55">
        <f>'Income Statement'!L7*O69</f>
        <v>98144.534708999985</v>
      </c>
      <c r="P68" s="55">
        <f>'Income Statement'!M7*P69</f>
        <v>125966.37672215997</v>
      </c>
      <c r="Q68" s="55">
        <f>'Income Statement'!N7*Q69</f>
        <v>146120.99699770554</v>
      </c>
    </row>
    <row r="69" spans="1:17" s="16" customFormat="1" ht="11.25" x14ac:dyDescent="0.2">
      <c r="B69" s="26" t="s">
        <v>106</v>
      </c>
      <c r="F69" s="24"/>
      <c r="G69" s="19">
        <f>G68/'Income Statement'!D7</f>
        <v>0.10543584007184242</v>
      </c>
      <c r="H69" s="19">
        <f>H68/'Income Statement'!E7</f>
        <v>0.10077862325252168</v>
      </c>
      <c r="I69" s="19">
        <f>I68/'Income Statement'!F7</f>
        <v>0.11026328136018629</v>
      </c>
      <c r="J69" s="19">
        <f>J68/'Income Statement'!G7</f>
        <v>0.11273253643092063</v>
      </c>
      <c r="K69" s="19">
        <f>K68/'Income Statement'!H7</f>
        <v>0.12723041290417683</v>
      </c>
      <c r="L69" s="19">
        <f>L68/'Income Statement'!I7</f>
        <v>0.1147319849178256</v>
      </c>
      <c r="M69" s="56">
        <f>Assumptions!I49</f>
        <v>0.115</v>
      </c>
      <c r="N69" s="56">
        <f>Assumptions!J49</f>
        <v>0.115</v>
      </c>
      <c r="O69" s="56">
        <f>Assumptions!K49</f>
        <v>0.115</v>
      </c>
      <c r="P69" s="56">
        <f>Assumptions!L49</f>
        <v>0.12</v>
      </c>
      <c r="Q69" s="56">
        <f>Assumptions!M49</f>
        <v>0.12</v>
      </c>
    </row>
    <row r="70" spans="1:17" hidden="1" outlineLevel="1" x14ac:dyDescent="0.2">
      <c r="C70" s="5" t="s">
        <v>31</v>
      </c>
      <c r="D70" s="5"/>
      <c r="E70" s="5"/>
      <c r="G70" s="5">
        <v>2968</v>
      </c>
      <c r="H70" s="5">
        <v>4730</v>
      </c>
      <c r="I70" s="5">
        <v>2890</v>
      </c>
      <c r="J70" s="5">
        <v>3518</v>
      </c>
      <c r="K70" s="5">
        <v>9733</v>
      </c>
      <c r="L70" s="5">
        <v>8716</v>
      </c>
    </row>
    <row r="71" spans="1:17" hidden="1" outlineLevel="1" x14ac:dyDescent="0.2">
      <c r="C71" s="5" t="s">
        <v>32</v>
      </c>
      <c r="D71" s="5"/>
      <c r="E71" s="5"/>
      <c r="G71" s="5">
        <v>15429</v>
      </c>
      <c r="H71" s="5">
        <v>13550</v>
      </c>
      <c r="I71" s="5">
        <v>15024</v>
      </c>
      <c r="J71" s="5">
        <v>21030</v>
      </c>
      <c r="K71" s="5">
        <v>26652</v>
      </c>
      <c r="L71" s="5">
        <v>28748</v>
      </c>
    </row>
    <row r="72" spans="1:17" hidden="1" outlineLevel="1" x14ac:dyDescent="0.2">
      <c r="C72" s="5" t="s">
        <v>33</v>
      </c>
      <c r="D72" s="5"/>
      <c r="E72" s="5"/>
      <c r="G72" s="5">
        <v>1578</v>
      </c>
      <c r="H72" s="5">
        <v>3967</v>
      </c>
      <c r="I72" s="5">
        <v>8764</v>
      </c>
      <c r="J72" s="5">
        <v>6098</v>
      </c>
      <c r="K72" s="5">
        <v>5179</v>
      </c>
      <c r="L72" s="5">
        <v>3235</v>
      </c>
    </row>
    <row r="73" spans="1:17" hidden="1" outlineLevel="1" x14ac:dyDescent="0.2">
      <c r="C73" s="5" t="s">
        <v>34</v>
      </c>
      <c r="D73" s="5"/>
      <c r="E73" s="5"/>
      <c r="G73" s="5">
        <v>5919</v>
      </c>
      <c r="H73" s="5">
        <v>8551</v>
      </c>
      <c r="I73" s="5">
        <v>9619</v>
      </c>
      <c r="J73" s="5">
        <v>10217</v>
      </c>
      <c r="K73" s="5">
        <v>11142</v>
      </c>
      <c r="L73" s="5">
        <v>13697</v>
      </c>
    </row>
    <row r="74" spans="1:17" hidden="1" outlineLevel="1" x14ac:dyDescent="0.2">
      <c r="C74" s="5" t="s">
        <v>35</v>
      </c>
      <c r="D74" s="5"/>
      <c r="E74" s="5"/>
      <c r="G74" s="5">
        <v>875</v>
      </c>
      <c r="H74" s="5">
        <v>1094</v>
      </c>
      <c r="I74" s="5">
        <v>2011</v>
      </c>
      <c r="J74" s="5">
        <v>3217</v>
      </c>
      <c r="K74" s="5">
        <v>4259</v>
      </c>
      <c r="L74" s="5">
        <v>6248</v>
      </c>
    </row>
    <row r="75" spans="1:17" hidden="1" outlineLevel="1" x14ac:dyDescent="0.2">
      <c r="D75" s="5" t="s">
        <v>36</v>
      </c>
      <c r="E75" s="5"/>
      <c r="G75" s="5">
        <f t="shared" ref="G75:L75" si="20">SUM(G70:G74)</f>
        <v>26769</v>
      </c>
      <c r="H75" s="5">
        <f t="shared" si="20"/>
        <v>31892</v>
      </c>
      <c r="I75" s="5">
        <f t="shared" si="20"/>
        <v>38308</v>
      </c>
      <c r="J75" s="5">
        <f t="shared" si="20"/>
        <v>44080</v>
      </c>
      <c r="K75" s="5">
        <f t="shared" si="20"/>
        <v>56965</v>
      </c>
      <c r="L75" s="5">
        <f t="shared" si="20"/>
        <v>60644</v>
      </c>
    </row>
    <row r="76" spans="1:17" hidden="1" outlineLevel="1" x14ac:dyDescent="0.2">
      <c r="D76" s="5"/>
      <c r="E76" s="5"/>
    </row>
    <row r="77" spans="1:17" collapsed="1" x14ac:dyDescent="0.2">
      <c r="B77" s="5" t="s">
        <v>18</v>
      </c>
      <c r="D77" s="5"/>
      <c r="E77" s="5"/>
      <c r="G77" s="5">
        <v>8863</v>
      </c>
      <c r="H77" s="5">
        <v>8352</v>
      </c>
      <c r="I77" s="5">
        <v>9708</v>
      </c>
      <c r="J77" s="5">
        <v>9721</v>
      </c>
      <c r="K77" s="5">
        <v>12477</v>
      </c>
      <c r="L77" s="5">
        <v>15372</v>
      </c>
      <c r="M77" s="55">
        <f>'Income Statement'!J7*M78</f>
        <v>17759.9856</v>
      </c>
      <c r="N77" s="55">
        <f>'Income Statement'!K7*N78</f>
        <v>20423.983439999996</v>
      </c>
      <c r="O77" s="55">
        <f>'Income Statement'!L7*O78</f>
        <v>23896.060624799997</v>
      </c>
      <c r="P77" s="55">
        <f>'Income Statement'!M7*P78</f>
        <v>29392.154568503993</v>
      </c>
      <c r="Q77" s="55">
        <f>'Income Statement'!N7*Q78</f>
        <v>36530.249249426386</v>
      </c>
    </row>
    <row r="78" spans="1:17" s="16" customFormat="1" ht="11.25" x14ac:dyDescent="0.2">
      <c r="B78" s="26" t="s">
        <v>106</v>
      </c>
      <c r="F78" s="24"/>
      <c r="G78" s="19">
        <f>G77/'Income Statement'!D7</f>
        <v>3.4908956276167934E-2</v>
      </c>
      <c r="H78" s="19">
        <f>H77/'Income Statement'!E7</f>
        <v>2.6392294663397122E-2</v>
      </c>
      <c r="I78" s="19">
        <f>I77/'Income Statement'!F7</f>
        <v>2.7942882307734375E-2</v>
      </c>
      <c r="J78" s="19">
        <f>J77/'Income Statement'!G7</f>
        <v>2.4861002419350714E-2</v>
      </c>
      <c r="K78" s="19">
        <f>K77/'Income Statement'!H7</f>
        <v>2.7867179176782487E-2</v>
      </c>
      <c r="L78" s="19">
        <f>L77/'Income Statement'!I7</f>
        <v>2.9082185742312763E-2</v>
      </c>
      <c r="M78" s="56">
        <f>Assumptions!I51</f>
        <v>2.8000000000000001E-2</v>
      </c>
      <c r="N78" s="56">
        <f>Assumptions!J51</f>
        <v>2.8000000000000001E-2</v>
      </c>
      <c r="O78" s="56">
        <f>Assumptions!K51</f>
        <v>2.8000000000000001E-2</v>
      </c>
      <c r="P78" s="56">
        <f>Assumptions!L51</f>
        <v>2.8000000000000001E-2</v>
      </c>
      <c r="Q78" s="56">
        <f>Assumptions!M51</f>
        <v>0.03</v>
      </c>
    </row>
    <row r="79" spans="1:17" x14ac:dyDescent="0.2">
      <c r="B79" s="5" t="s">
        <v>19</v>
      </c>
      <c r="D79" s="5"/>
      <c r="E79" s="5"/>
      <c r="G79" s="5">
        <v>4976</v>
      </c>
      <c r="H79" s="5">
        <v>2633</v>
      </c>
      <c r="I79" s="5">
        <v>0</v>
      </c>
      <c r="J79" s="5">
        <v>3819</v>
      </c>
      <c r="K79" s="5">
        <v>7248</v>
      </c>
      <c r="L79" s="5">
        <v>0</v>
      </c>
      <c r="M79" s="55">
        <f>'Income Statement'!J34*M80</f>
        <v>6698.0517119999995</v>
      </c>
      <c r="N79" s="55">
        <f>'Income Statement'!K34*N80</f>
        <v>7702.7594687999963</v>
      </c>
      <c r="O79" s="55">
        <f>'Income Statement'!L34*O80</f>
        <v>11674.932476687998</v>
      </c>
      <c r="P79" s="55">
        <f>'Income Statement'!M34*P80</f>
        <v>7390.027434366717</v>
      </c>
      <c r="Q79" s="55">
        <f>'Income Statement'!N34*Q80</f>
        <v>12858.647735798088</v>
      </c>
    </row>
    <row r="80" spans="1:17" s="16" customFormat="1" ht="11.25" x14ac:dyDescent="0.2">
      <c r="B80" s="14" t="s">
        <v>114</v>
      </c>
      <c r="F80" s="24"/>
      <c r="G80" s="19">
        <f>G79/'Income Statement'!D34</f>
        <v>5.8271755296101554E-2</v>
      </c>
      <c r="H80" s="19">
        <f>H79/'Income Statement'!E34</f>
        <v>2.3943764436280306E-2</v>
      </c>
      <c r="I80" s="19">
        <f>I79/'Income Statement'!F34</f>
        <v>0</v>
      </c>
      <c r="J80" s="19">
        <f>J79/'Income Statement'!G34</f>
        <v>2.9394786062299397E-2</v>
      </c>
      <c r="K80" s="19">
        <f>K79/'Income Statement'!H34</f>
        <v>4.4035359518818921E-2</v>
      </c>
      <c r="L80" s="19">
        <f>L79/'Income Statement'!I34</f>
        <v>0</v>
      </c>
      <c r="M80" s="56">
        <f>Assumptions!I53</f>
        <v>0.03</v>
      </c>
      <c r="N80" s="56">
        <f>Assumptions!J53</f>
        <v>0.03</v>
      </c>
      <c r="O80" s="56">
        <f>Assumptions!K53</f>
        <v>0.04</v>
      </c>
      <c r="P80" s="56">
        <f>Assumptions!L53</f>
        <v>0.02</v>
      </c>
      <c r="Q80" s="56">
        <f>Assumptions!M53</f>
        <v>0.03</v>
      </c>
    </row>
    <row r="81" spans="1:17" x14ac:dyDescent="0.2">
      <c r="B81" s="5" t="s">
        <v>14</v>
      </c>
      <c r="D81" s="5"/>
      <c r="E81" s="5"/>
      <c r="G81" s="5">
        <v>2982</v>
      </c>
      <c r="H81" s="5">
        <v>3647</v>
      </c>
      <c r="I81" s="5">
        <v>5902</v>
      </c>
      <c r="J81" s="5">
        <v>5438</v>
      </c>
      <c r="K81" s="5">
        <v>3295</v>
      </c>
      <c r="L81" s="5">
        <v>7191</v>
      </c>
      <c r="M81" s="55">
        <f>'Income Statement'!J34*M82</f>
        <v>8930.7356159999999</v>
      </c>
      <c r="N81" s="55">
        <f>'Income Statement'!K34*N82</f>
        <v>10270.345958399996</v>
      </c>
      <c r="O81" s="55">
        <f>'Income Statement'!L34*O82</f>
        <v>11674.932476687998</v>
      </c>
      <c r="P81" s="55">
        <f>'Income Statement'!M34*P82</f>
        <v>11085.041151550075</v>
      </c>
      <c r="Q81" s="55">
        <f>'Income Statement'!N34*Q82</f>
        <v>17144.863647730785</v>
      </c>
    </row>
    <row r="82" spans="1:17" s="16" customFormat="1" ht="11.25" x14ac:dyDescent="0.2">
      <c r="B82" s="32" t="s">
        <v>114</v>
      </c>
      <c r="F82" s="24"/>
      <c r="G82" s="19">
        <f>G81/'Income Statement'!D34</f>
        <v>3.4920895155340602E-2</v>
      </c>
      <c r="H82" s="19">
        <f>H81/'Income Statement'!E34</f>
        <v>3.3164796391611955E-2</v>
      </c>
      <c r="I82" s="19">
        <f>I81/'Income Statement'!F34</f>
        <v>6.0390872812851736E-2</v>
      </c>
      <c r="J82" s="19">
        <f>J81/'Income Statement'!G34</f>
        <v>4.1856204924531064E-2</v>
      </c>
      <c r="K82" s="19">
        <f>K81/'Income Statement'!H34</f>
        <v>2.0018834107961968E-2</v>
      </c>
      <c r="L82" s="19">
        <f>L81/'Income Statement'!I34</f>
        <v>4.1203974284044417E-2</v>
      </c>
      <c r="M82" s="56">
        <f>Assumptions!I55</f>
        <v>0.04</v>
      </c>
      <c r="N82" s="56">
        <f>Assumptions!J55</f>
        <v>0.04</v>
      </c>
      <c r="O82" s="56">
        <f>Assumptions!K55</f>
        <v>0.04</v>
      </c>
      <c r="P82" s="56">
        <f>Assumptions!L55</f>
        <v>0.03</v>
      </c>
      <c r="Q82" s="56">
        <f>Assumptions!M55</f>
        <v>0.04</v>
      </c>
    </row>
    <row r="83" spans="1:17" x14ac:dyDescent="0.2">
      <c r="B83" s="5" t="s">
        <v>20</v>
      </c>
      <c r="D83" s="5"/>
      <c r="E83" s="5"/>
      <c r="G83" s="5">
        <v>197</v>
      </c>
      <c r="H83" s="5">
        <v>198</v>
      </c>
      <c r="I83" s="5">
        <v>173</v>
      </c>
      <c r="J83" s="5">
        <v>165</v>
      </c>
      <c r="K83" s="5">
        <v>126</v>
      </c>
      <c r="L83" s="5">
        <v>126</v>
      </c>
      <c r="M83" s="55">
        <f>'Income Statement'!J7*M84</f>
        <v>317.14259999999996</v>
      </c>
      <c r="N83" s="55">
        <f>'Income Statement'!K7*N84</f>
        <v>364.71398999999997</v>
      </c>
      <c r="O83" s="55">
        <f>'Income Statement'!L7*O84</f>
        <v>426.71536829999991</v>
      </c>
      <c r="P83" s="55">
        <f>'Income Statement'!M7*P84</f>
        <v>524.85990300899994</v>
      </c>
      <c r="Q83" s="55">
        <f>'Income Statement'!N7*Q84</f>
        <v>608.8374874904398</v>
      </c>
    </row>
    <row r="84" spans="1:17" s="16" customFormat="1" ht="11.25" x14ac:dyDescent="0.2">
      <c r="B84" s="26" t="s">
        <v>106</v>
      </c>
      <c r="F84" s="24"/>
      <c r="G84" s="31">
        <f>G83/'Income Statement'!D7</f>
        <v>7.7592963854282773E-4</v>
      </c>
      <c r="H84" s="31">
        <f>H83/'Income Statement'!E7</f>
        <v>6.2567939934777661E-4</v>
      </c>
      <c r="I84" s="31">
        <f>I83/'Income Statement'!F7</f>
        <v>4.9795206419839786E-4</v>
      </c>
      <c r="J84" s="31">
        <f>J83/'Income Statement'!G7</f>
        <v>4.2197977566020654E-4</v>
      </c>
      <c r="K84" s="31">
        <f>K83/'Income Statement'!H7</f>
        <v>2.8141897701968371E-4</v>
      </c>
      <c r="L84" s="31">
        <f>L83/'Income Statement'!I7</f>
        <v>2.3837857165830134E-4</v>
      </c>
      <c r="M84" s="67">
        <f>Assumptions!I57</f>
        <v>5.0000000000000001E-4</v>
      </c>
      <c r="N84" s="67">
        <f>Assumptions!J57</f>
        <v>5.0000000000000001E-4</v>
      </c>
      <c r="O84" s="67">
        <f>Assumptions!K57</f>
        <v>5.0000000000000001E-4</v>
      </c>
      <c r="P84" s="67">
        <f>Assumptions!L57</f>
        <v>5.0000000000000001E-4</v>
      </c>
      <c r="Q84" s="67">
        <f>Assumptions!M57</f>
        <v>5.0000000000000001E-4</v>
      </c>
    </row>
    <row r="85" spans="1:17" x14ac:dyDescent="0.2">
      <c r="A85" s="5" t="s">
        <v>21</v>
      </c>
      <c r="D85" s="5"/>
      <c r="E85" s="5"/>
      <c r="G85" s="5">
        <f t="shared" ref="G85:Q85" si="21">G66+G68+G77+G79+G81+G83</f>
        <v>44090</v>
      </c>
      <c r="H85" s="5">
        <f t="shared" si="21"/>
        <v>47047</v>
      </c>
      <c r="I85" s="5">
        <f t="shared" si="21"/>
        <v>54182</v>
      </c>
      <c r="J85" s="5">
        <f t="shared" si="21"/>
        <v>63223</v>
      </c>
      <c r="K85" s="5">
        <f t="shared" si="21"/>
        <v>80111</v>
      </c>
      <c r="L85" s="5">
        <f t="shared" si="21"/>
        <v>83333</v>
      </c>
      <c r="M85" s="55">
        <f t="shared" si="21"/>
        <v>106648.71352800001</v>
      </c>
      <c r="N85" s="55">
        <f t="shared" si="21"/>
        <v>122646.02055719998</v>
      </c>
      <c r="O85" s="55">
        <f t="shared" si="21"/>
        <v>145817.17565547599</v>
      </c>
      <c r="P85" s="55">
        <f t="shared" si="21"/>
        <v>174358.45977958976</v>
      </c>
      <c r="Q85" s="55">
        <f t="shared" si="21"/>
        <v>213263.59511815125</v>
      </c>
    </row>
    <row r="86" spans="1:17" x14ac:dyDescent="0.2">
      <c r="D86" s="5"/>
      <c r="E86" s="5"/>
    </row>
    <row r="87" spans="1:17" x14ac:dyDescent="0.2">
      <c r="B87" s="5" t="s">
        <v>14</v>
      </c>
      <c r="D87" s="5"/>
      <c r="E87" s="5"/>
      <c r="G87" s="5">
        <v>0</v>
      </c>
      <c r="H87" s="5">
        <v>1063</v>
      </c>
      <c r="I87" s="5">
        <v>6014</v>
      </c>
      <c r="J87" s="5">
        <v>6355</v>
      </c>
      <c r="K87" s="5">
        <v>2878</v>
      </c>
      <c r="L87" s="5">
        <v>0</v>
      </c>
      <c r="M87" s="55">
        <f>'Income Statement'!J34*M88</f>
        <v>6698.0517119999995</v>
      </c>
      <c r="N87" s="55">
        <f>'Income Statement'!K34*N88</f>
        <v>7702.7594687999963</v>
      </c>
      <c r="O87" s="55">
        <f>'Income Statement'!L34*O88</f>
        <v>8756.1993575159977</v>
      </c>
      <c r="P87" s="55">
        <f>'Income Statement'!M34*P88</f>
        <v>11085.041151550075</v>
      </c>
      <c r="Q87" s="55">
        <f>'Income Statement'!N34*Q88</f>
        <v>12858.647735798088</v>
      </c>
    </row>
    <row r="88" spans="1:17" s="16" customFormat="1" ht="11.25" x14ac:dyDescent="0.2">
      <c r="B88" s="14" t="s">
        <v>114</v>
      </c>
      <c r="F88" s="24"/>
      <c r="G88" s="19">
        <f>G87/'Income Statement'!D34</f>
        <v>0</v>
      </c>
      <c r="H88" s="19">
        <f>H87/'Income Statement'!E34</f>
        <v>9.6666242293072403E-3</v>
      </c>
      <c r="I88" s="19">
        <f>I87/'Income Statement'!F34</f>
        <v>6.1536887342678807E-2</v>
      </c>
      <c r="J88" s="19">
        <f>J87/'Income Statement'!G34</f>
        <v>4.8914340252922933E-2</v>
      </c>
      <c r="K88" s="19">
        <f>K87/'Income Statement'!H34</f>
        <v>1.7485342811142501E-2</v>
      </c>
      <c r="L88" s="19">
        <f>L87/'Income Statement'!I34</f>
        <v>0</v>
      </c>
      <c r="M88" s="56">
        <f>Assumptions!I59</f>
        <v>0.03</v>
      </c>
      <c r="N88" s="56">
        <f>Assumptions!J59</f>
        <v>0.03</v>
      </c>
      <c r="O88" s="56">
        <f>Assumptions!K59</f>
        <v>0.03</v>
      </c>
      <c r="P88" s="56">
        <f>Assumptions!L59</f>
        <v>0.03</v>
      </c>
      <c r="Q88" s="56">
        <f>Assumptions!M59</f>
        <v>0.03</v>
      </c>
    </row>
    <row r="89" spans="1:17" x14ac:dyDescent="0.2">
      <c r="B89" s="5" t="s">
        <v>67</v>
      </c>
      <c r="D89" s="5"/>
      <c r="E89" s="5"/>
      <c r="G89" s="5">
        <v>409</v>
      </c>
      <c r="H89" s="5">
        <v>84</v>
      </c>
      <c r="I89" s="5">
        <v>16</v>
      </c>
      <c r="J89" s="5">
        <v>0</v>
      </c>
      <c r="K89" s="5">
        <v>0</v>
      </c>
      <c r="L89" s="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</row>
    <row r="90" spans="1:17" x14ac:dyDescent="0.2">
      <c r="B90" s="5" t="s">
        <v>22</v>
      </c>
      <c r="D90" s="5"/>
      <c r="E90" s="5"/>
      <c r="G90" s="5">
        <v>1413</v>
      </c>
      <c r="H90" s="5">
        <v>1435</v>
      </c>
      <c r="I90" s="5">
        <v>1247</v>
      </c>
      <c r="J90" s="5">
        <v>1182</v>
      </c>
      <c r="K90" s="5">
        <v>1160</v>
      </c>
      <c r="L90" s="5">
        <v>1402</v>
      </c>
      <c r="M90" s="55">
        <f>'Income Statement'!J7*M91</f>
        <v>1902.8555999999999</v>
      </c>
      <c r="N90" s="55">
        <f>'Income Statement'!K7*N91</f>
        <v>2188.2839399999998</v>
      </c>
      <c r="O90" s="55">
        <f>'Income Statement'!L7*O91</f>
        <v>3413.7229463999993</v>
      </c>
      <c r="P90" s="55">
        <f>'Income Statement'!M7*P91</f>
        <v>4198.8792240719995</v>
      </c>
      <c r="Q90" s="55">
        <f>'Income Statement'!N7*Q91</f>
        <v>4870.6998999235184</v>
      </c>
    </row>
    <row r="91" spans="1:17" s="16" customFormat="1" ht="11.25" x14ac:dyDescent="0.2">
      <c r="B91" s="14" t="s">
        <v>106</v>
      </c>
      <c r="F91" s="24"/>
      <c r="G91" s="44">
        <f>G90/'Income Statement'!D7</f>
        <v>5.5654242602082016E-3</v>
      </c>
      <c r="H91" s="44">
        <f>H90/'Income Statement'!E7</f>
        <v>4.5345956467881792E-3</v>
      </c>
      <c r="I91" s="44">
        <f>I90/'Income Statement'!F7</f>
        <v>3.5892845321121515E-3</v>
      </c>
      <c r="J91" s="44">
        <f>J90/'Income Statement'!G7</f>
        <v>3.0229096656385706E-3</v>
      </c>
      <c r="K91" s="44">
        <f>K90/'Income Statement'!H7</f>
        <v>2.5908413757367707E-3</v>
      </c>
      <c r="L91" s="44">
        <f>L90/'Income Statement'!I7</f>
        <v>2.6524345830550673E-3</v>
      </c>
      <c r="M91" s="59">
        <f>Assumptions!I61</f>
        <v>3.0000000000000001E-3</v>
      </c>
      <c r="N91" s="59">
        <f>Assumptions!J61</f>
        <v>3.0000000000000001E-3</v>
      </c>
      <c r="O91" s="59">
        <f>Assumptions!K61</f>
        <v>4.0000000000000001E-3</v>
      </c>
      <c r="P91" s="59">
        <f>Assumptions!L61</f>
        <v>4.0000000000000001E-3</v>
      </c>
      <c r="Q91" s="59">
        <f>Assumptions!M61</f>
        <v>4.0000000000000001E-3</v>
      </c>
    </row>
    <row r="92" spans="1:17" s="16" customFormat="1" ht="11.25" x14ac:dyDescent="0.2">
      <c r="B92" s="14" t="s">
        <v>115</v>
      </c>
      <c r="F92" s="24"/>
      <c r="H92" s="19">
        <f>(H90/G90)-1</f>
        <v>1.5569709837225831E-2</v>
      </c>
      <c r="I92" s="19">
        <f>(I90/H90)-1</f>
        <v>-0.13101045296167246</v>
      </c>
      <c r="J92" s="19">
        <f>(J90/I90)-1</f>
        <v>-5.2125100240577371E-2</v>
      </c>
      <c r="K92" s="19">
        <f>(K90/J90)-1</f>
        <v>-1.8612521150592198E-2</v>
      </c>
      <c r="L92" s="19">
        <f>(L90/K90)-1</f>
        <v>0.20862068965517233</v>
      </c>
      <c r="M92" s="61"/>
      <c r="N92" s="61"/>
      <c r="O92" s="61"/>
      <c r="P92" s="61"/>
      <c r="Q92" s="61"/>
    </row>
    <row r="93" spans="1:17" x14ac:dyDescent="0.2">
      <c r="A93" s="2" t="s">
        <v>23</v>
      </c>
      <c r="D93" s="5"/>
      <c r="E93" s="5"/>
      <c r="G93" s="5">
        <f t="shared" ref="G93:Q93" si="22">G85+G87+G89+G90</f>
        <v>45912</v>
      </c>
      <c r="H93" s="5">
        <f t="shared" si="22"/>
        <v>49629</v>
      </c>
      <c r="I93" s="5">
        <f t="shared" si="22"/>
        <v>61459</v>
      </c>
      <c r="J93" s="5">
        <f t="shared" si="22"/>
        <v>70760</v>
      </c>
      <c r="K93" s="5">
        <f t="shared" si="22"/>
        <v>84149</v>
      </c>
      <c r="L93" s="5">
        <f t="shared" si="22"/>
        <v>84735</v>
      </c>
      <c r="M93" s="55">
        <f t="shared" si="22"/>
        <v>115249.62084</v>
      </c>
      <c r="N93" s="55">
        <f t="shared" si="22"/>
        <v>132537.06396599999</v>
      </c>
      <c r="O93" s="55">
        <f t="shared" si="22"/>
        <v>157987.09795939198</v>
      </c>
      <c r="P93" s="55">
        <f t="shared" si="22"/>
        <v>189642.38015521184</v>
      </c>
      <c r="Q93" s="55">
        <f t="shared" si="22"/>
        <v>230992.94275387286</v>
      </c>
    </row>
    <row r="94" spans="1:17" s="17" customFormat="1" ht="11.25" x14ac:dyDescent="0.2">
      <c r="A94" s="17" t="s">
        <v>107</v>
      </c>
      <c r="F94" s="29"/>
      <c r="H94" s="30">
        <f t="shared" ref="H94:Q94" si="23">(H93/G93)-1</f>
        <v>8.0959226346053237E-2</v>
      </c>
      <c r="I94" s="30">
        <f t="shared" si="23"/>
        <v>0.23836869572225927</v>
      </c>
      <c r="J94" s="30">
        <f t="shared" si="23"/>
        <v>0.15133666346670127</v>
      </c>
      <c r="K94" s="30">
        <f t="shared" si="23"/>
        <v>0.18921707179197278</v>
      </c>
      <c r="L94" s="30">
        <f t="shared" si="23"/>
        <v>6.9638379541052675E-3</v>
      </c>
      <c r="M94" s="68">
        <f t="shared" si="23"/>
        <v>0.36011826093113819</v>
      </c>
      <c r="N94" s="68">
        <f t="shared" si="23"/>
        <v>0.14999999999999991</v>
      </c>
      <c r="O94" s="68">
        <f t="shared" si="23"/>
        <v>0.19202201430930099</v>
      </c>
      <c r="P94" s="68">
        <f t="shared" si="23"/>
        <v>0.20036624891961963</v>
      </c>
      <c r="Q94" s="68">
        <f t="shared" si="23"/>
        <v>0.21804494630798166</v>
      </c>
    </row>
    <row r="96" spans="1:17" x14ac:dyDescent="0.2">
      <c r="A96" s="2" t="s">
        <v>43</v>
      </c>
      <c r="G96" s="5">
        <f>'Shareholders Equity'!J9</f>
        <v>269152</v>
      </c>
      <c r="H96" s="5">
        <f>'Shareholders Equity'!J19</f>
        <v>486217</v>
      </c>
      <c r="I96" s="5">
        <f>'Shareholders Equity'!J26</f>
        <v>525640</v>
      </c>
      <c r="J96" s="5">
        <f>'Shareholders Equity'!J33</f>
        <v>602263</v>
      </c>
      <c r="K96" s="5">
        <f>'Shareholders Equity'!J40</f>
        <v>709379</v>
      </c>
      <c r="L96" s="5">
        <f>'Shareholders Equity'!J47</f>
        <v>809970</v>
      </c>
      <c r="M96" s="55">
        <f>'Shareholders Equity'!J54</f>
        <v>955094.45375999995</v>
      </c>
      <c r="N96" s="55">
        <f>'Shareholders Equity'!J61</f>
        <v>1121987.575584</v>
      </c>
      <c r="O96" s="55">
        <f>'Shareholders Equity'!J68</f>
        <v>1311705.22833018</v>
      </c>
      <c r="P96" s="55">
        <f>'Shareholders Equity'!J75</f>
        <v>1551881.1199470984</v>
      </c>
      <c r="Q96" s="55">
        <f>'Shareholders Equity'!J82</f>
        <v>1830485.1542227236</v>
      </c>
    </row>
    <row r="97" spans="1:17" s="17" customFormat="1" ht="11.25" x14ac:dyDescent="0.2">
      <c r="A97" s="14" t="s">
        <v>107</v>
      </c>
      <c r="D97" s="29"/>
      <c r="E97" s="29"/>
      <c r="F97" s="29"/>
      <c r="H97" s="30">
        <f t="shared" ref="H97:Q97" si="24">(H96/G96)-1</f>
        <v>0.80647738081084297</v>
      </c>
      <c r="I97" s="30">
        <f t="shared" si="24"/>
        <v>8.1081081081081141E-2</v>
      </c>
      <c r="J97" s="30">
        <f t="shared" si="24"/>
        <v>0.14577086979681919</v>
      </c>
      <c r="K97" s="30">
        <f t="shared" si="24"/>
        <v>0.17785585367190082</v>
      </c>
      <c r="L97" s="30">
        <f t="shared" si="24"/>
        <v>0.1418014911633978</v>
      </c>
      <c r="M97" s="68">
        <f t="shared" si="24"/>
        <v>0.17917262831956737</v>
      </c>
      <c r="N97" s="68">
        <f t="shared" si="24"/>
        <v>0.17473991307035441</v>
      </c>
      <c r="O97" s="68">
        <f t="shared" si="24"/>
        <v>0.16909068948239558</v>
      </c>
      <c r="P97" s="68">
        <f t="shared" si="24"/>
        <v>0.18310203118018054</v>
      </c>
      <c r="Q97" s="68">
        <f t="shared" si="24"/>
        <v>0.17952666006087004</v>
      </c>
    </row>
    <row r="103" spans="1:17" x14ac:dyDescent="0.2">
      <c r="A103" s="5" t="s">
        <v>57</v>
      </c>
    </row>
    <row r="104" spans="1:17" x14ac:dyDescent="0.2">
      <c r="B104" s="5" t="s">
        <v>1</v>
      </c>
      <c r="G104" s="5">
        <f t="shared" ref="G104:Q104" si="25">G59</f>
        <v>315064</v>
      </c>
      <c r="H104" s="5">
        <f t="shared" si="25"/>
        <v>535846</v>
      </c>
      <c r="I104" s="5">
        <f t="shared" si="25"/>
        <v>587099</v>
      </c>
      <c r="J104" s="5">
        <f t="shared" si="25"/>
        <v>673023</v>
      </c>
      <c r="K104" s="5">
        <f t="shared" si="25"/>
        <v>793528</v>
      </c>
      <c r="L104" s="5">
        <f t="shared" si="25"/>
        <v>894705</v>
      </c>
      <c r="M104" s="55">
        <f t="shared" si="25"/>
        <v>1070344.0745999999</v>
      </c>
      <c r="N104" s="55">
        <f t="shared" si="25"/>
        <v>1254524.63955</v>
      </c>
      <c r="O104" s="55">
        <f t="shared" si="25"/>
        <v>1469692.3262895721</v>
      </c>
      <c r="P104" s="55">
        <f t="shared" si="25"/>
        <v>1741523.5001023102</v>
      </c>
      <c r="Q104" s="55">
        <f t="shared" si="25"/>
        <v>2061478.0969765964</v>
      </c>
    </row>
    <row r="105" spans="1:17" x14ac:dyDescent="0.2">
      <c r="B105" s="5" t="s">
        <v>58</v>
      </c>
      <c r="G105" s="5">
        <f t="shared" ref="G105:Q105" si="26">G93+G96</f>
        <v>315064</v>
      </c>
      <c r="H105" s="5">
        <f t="shared" si="26"/>
        <v>535846</v>
      </c>
      <c r="I105" s="5">
        <f t="shared" si="26"/>
        <v>587099</v>
      </c>
      <c r="J105" s="5">
        <f t="shared" si="26"/>
        <v>673023</v>
      </c>
      <c r="K105" s="5">
        <f t="shared" si="26"/>
        <v>793528</v>
      </c>
      <c r="L105" s="5">
        <f t="shared" si="26"/>
        <v>894705</v>
      </c>
      <c r="M105" s="55">
        <f>M93+M96</f>
        <v>1070344.0745999999</v>
      </c>
      <c r="N105" s="55">
        <f t="shared" si="26"/>
        <v>1254524.63955</v>
      </c>
      <c r="O105" s="55">
        <f t="shared" si="26"/>
        <v>1469692.3262895721</v>
      </c>
      <c r="P105" s="55">
        <f t="shared" si="26"/>
        <v>1741523.5001023102</v>
      </c>
      <c r="Q105" s="55">
        <f t="shared" si="26"/>
        <v>2061478.0969765964</v>
      </c>
    </row>
    <row r="106" spans="1:17" x14ac:dyDescent="0.2">
      <c r="C106" s="5" t="s">
        <v>59</v>
      </c>
      <c r="G106" s="5" t="str">
        <f t="shared" ref="G106:L106" si="27">IF(G104=G105, "OK", "NO!")</f>
        <v>OK</v>
      </c>
      <c r="H106" s="5" t="str">
        <f t="shared" si="27"/>
        <v>OK</v>
      </c>
      <c r="I106" s="5" t="str">
        <f t="shared" si="27"/>
        <v>OK</v>
      </c>
      <c r="J106" s="5" t="str">
        <f t="shared" si="27"/>
        <v>OK</v>
      </c>
      <c r="K106" s="5" t="str">
        <f t="shared" si="27"/>
        <v>OK</v>
      </c>
      <c r="L106" s="5" t="str">
        <f t="shared" si="27"/>
        <v>OK</v>
      </c>
      <c r="M106" s="55" t="str">
        <f>IF(M104=M105, "OK", "NO!")</f>
        <v>OK</v>
      </c>
      <c r="N106" s="55" t="str">
        <f>IF(N104=N105, "OK", "NO!")</f>
        <v>OK</v>
      </c>
      <c r="O106" s="55" t="str">
        <f>IF(O104=O105, "OK", "NO!")</f>
        <v>OK</v>
      </c>
      <c r="P106" s="55" t="str">
        <f>IF(P104=P105, "OK", "NO!")</f>
        <v>OK</v>
      </c>
      <c r="Q106" s="55" t="str">
        <f>IF(Q104=Q105, "OK", "NO!")</f>
        <v>OK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sqref="A1:C1"/>
    </sheetView>
  </sheetViews>
  <sheetFormatPr defaultRowHeight="12.75" x14ac:dyDescent="0.2"/>
  <cols>
    <col min="1" max="1" width="9.140625" style="5" customWidth="1"/>
    <col min="2" max="2" width="26.28515625" style="5" customWidth="1"/>
    <col min="3" max="5" width="9.140625" style="5" customWidth="1"/>
    <col min="6" max="6" width="14" style="5" bestFit="1" customWidth="1"/>
    <col min="7" max="7" width="12.28515625" style="5" bestFit="1" customWidth="1"/>
    <col min="8" max="8" width="20.28515625" style="5" customWidth="1"/>
    <col min="9" max="9" width="12.5703125" style="5" customWidth="1"/>
    <col min="10" max="10" width="13.140625" style="5" customWidth="1"/>
    <col min="11" max="16384" width="9.140625" style="5"/>
  </cols>
  <sheetData>
    <row r="1" spans="1:10" x14ac:dyDescent="0.2">
      <c r="A1" s="5" t="s">
        <v>241</v>
      </c>
    </row>
    <row r="2" spans="1:10" s="1" customFormat="1" ht="18" x14ac:dyDescent="0.25">
      <c r="A2" s="1" t="s">
        <v>0</v>
      </c>
    </row>
    <row r="5" spans="1:10" s="3" customFormat="1" ht="15.75" x14ac:dyDescent="0.25">
      <c r="A5" s="3" t="s">
        <v>43</v>
      </c>
    </row>
    <row r="7" spans="1:10" ht="38.25" x14ac:dyDescent="0.2">
      <c r="F7" s="8" t="s">
        <v>73</v>
      </c>
      <c r="G7" s="8" t="s">
        <v>45</v>
      </c>
      <c r="H7" s="7" t="s">
        <v>76</v>
      </c>
      <c r="I7" s="7" t="s">
        <v>46</v>
      </c>
      <c r="J7" s="7" t="s">
        <v>43</v>
      </c>
    </row>
    <row r="9" spans="1:10" x14ac:dyDescent="0.2">
      <c r="A9" s="2" t="s">
        <v>71</v>
      </c>
      <c r="F9" s="5">
        <v>83000445</v>
      </c>
      <c r="G9" s="5">
        <v>128092</v>
      </c>
      <c r="H9" s="5">
        <v>0</v>
      </c>
      <c r="I9" s="5">
        <v>141060</v>
      </c>
      <c r="J9" s="5">
        <f>G9+I9</f>
        <v>269152</v>
      </c>
    </row>
    <row r="10" spans="1:10" x14ac:dyDescent="0.2">
      <c r="B10" s="5" t="s">
        <v>47</v>
      </c>
      <c r="F10" s="5">
        <v>0</v>
      </c>
      <c r="G10" s="5">
        <v>0</v>
      </c>
      <c r="H10" s="5">
        <v>0</v>
      </c>
      <c r="I10" s="5">
        <v>57389</v>
      </c>
      <c r="J10" s="5">
        <f>I10</f>
        <v>57389</v>
      </c>
    </row>
    <row r="11" spans="1:10" x14ac:dyDescent="0.2">
      <c r="B11" s="5" t="s">
        <v>48</v>
      </c>
      <c r="F11" s="5">
        <v>0</v>
      </c>
      <c r="G11" s="5">
        <v>0</v>
      </c>
      <c r="H11" s="5">
        <v>0</v>
      </c>
      <c r="I11" s="5">
        <v>0</v>
      </c>
      <c r="J11" s="5">
        <f>SUM(G11:I11)</f>
        <v>0</v>
      </c>
    </row>
    <row r="12" spans="1:10" x14ac:dyDescent="0.2">
      <c r="B12" s="5" t="s">
        <v>49</v>
      </c>
      <c r="J12" s="5">
        <f>J11+J10</f>
        <v>57389</v>
      </c>
    </row>
    <row r="13" spans="1:10" ht="36.75" customHeight="1" x14ac:dyDescent="0.2">
      <c r="B13" s="6" t="s">
        <v>50</v>
      </c>
      <c r="F13" s="5">
        <v>576432</v>
      </c>
      <c r="G13" s="5">
        <v>3878</v>
      </c>
      <c r="H13" s="5">
        <v>0</v>
      </c>
      <c r="I13" s="5">
        <v>0</v>
      </c>
      <c r="J13" s="5">
        <f>SUM(G13:I13)</f>
        <v>3878</v>
      </c>
    </row>
    <row r="14" spans="1:10" ht="24.75" customHeight="1" x14ac:dyDescent="0.2">
      <c r="B14" s="6" t="s">
        <v>75</v>
      </c>
      <c r="F14" s="5">
        <v>6900000</v>
      </c>
      <c r="G14" s="5">
        <v>0</v>
      </c>
      <c r="H14" s="5">
        <v>0</v>
      </c>
      <c r="I14" s="5">
        <v>0</v>
      </c>
      <c r="J14" s="5">
        <v>0</v>
      </c>
    </row>
    <row r="15" spans="1:10" ht="15" customHeight="1" x14ac:dyDescent="0.2">
      <c r="B15" s="6" t="s">
        <v>72</v>
      </c>
      <c r="F15" s="5">
        <v>1550987</v>
      </c>
      <c r="G15" s="5">
        <v>0</v>
      </c>
      <c r="H15" s="5">
        <v>0</v>
      </c>
      <c r="I15" s="5">
        <v>0</v>
      </c>
      <c r="J15" s="5">
        <v>0</v>
      </c>
    </row>
    <row r="16" spans="1:10" ht="15" customHeight="1" x14ac:dyDescent="0.2">
      <c r="B16" s="6" t="s">
        <v>74</v>
      </c>
      <c r="F16" s="5">
        <v>94962</v>
      </c>
      <c r="G16" s="5">
        <v>0</v>
      </c>
      <c r="H16" s="5">
        <v>0</v>
      </c>
      <c r="I16" s="5">
        <v>0</v>
      </c>
      <c r="J16" s="5">
        <v>0</v>
      </c>
    </row>
    <row r="17" spans="1:10" x14ac:dyDescent="0.2">
      <c r="B17" s="5" t="s">
        <v>51</v>
      </c>
      <c r="F17" s="5">
        <v>117033</v>
      </c>
      <c r="G17" s="5">
        <v>1736</v>
      </c>
      <c r="H17" s="5">
        <v>0</v>
      </c>
      <c r="I17" s="5">
        <v>0</v>
      </c>
      <c r="J17" s="5">
        <f>SUM(G17:I17)</f>
        <v>1736</v>
      </c>
    </row>
    <row r="18" spans="1:10" x14ac:dyDescent="0.2">
      <c r="B18" s="5" t="s">
        <v>52</v>
      </c>
      <c r="F18" s="5">
        <v>0</v>
      </c>
      <c r="G18" s="5">
        <v>0</v>
      </c>
      <c r="H18" s="5">
        <v>0</v>
      </c>
      <c r="I18" s="5">
        <v>0</v>
      </c>
      <c r="J18" s="5">
        <f>SUM(G18:I18)</f>
        <v>0</v>
      </c>
    </row>
    <row r="19" spans="1:10" x14ac:dyDescent="0.2">
      <c r="A19" s="2" t="s">
        <v>69</v>
      </c>
      <c r="F19" s="5">
        <f>F9+F13+F17+F15+F14+F16</f>
        <v>92239859</v>
      </c>
      <c r="G19" s="5">
        <v>287768</v>
      </c>
      <c r="H19" s="5">
        <v>0</v>
      </c>
      <c r="I19" s="5">
        <f>I9+I10</f>
        <v>198449</v>
      </c>
      <c r="J19" s="5">
        <f>G19+I19</f>
        <v>486217</v>
      </c>
    </row>
    <row r="20" spans="1:10" x14ac:dyDescent="0.2">
      <c r="B20" s="5" t="s">
        <v>47</v>
      </c>
      <c r="F20" s="5">
        <v>0</v>
      </c>
      <c r="G20" s="5">
        <v>0</v>
      </c>
      <c r="H20" s="5">
        <v>0</v>
      </c>
      <c r="I20" s="5">
        <v>57222</v>
      </c>
      <c r="J20" s="5">
        <f>I20</f>
        <v>57222</v>
      </c>
    </row>
    <row r="21" spans="1:10" x14ac:dyDescent="0.2">
      <c r="B21" s="5" t="s">
        <v>48</v>
      </c>
      <c r="F21" s="5">
        <v>0</v>
      </c>
      <c r="G21" s="5">
        <v>0</v>
      </c>
      <c r="H21" s="5">
        <v>0</v>
      </c>
      <c r="I21" s="5">
        <v>0</v>
      </c>
      <c r="J21" s="5">
        <f>SUM(G21:I21)</f>
        <v>0</v>
      </c>
    </row>
    <row r="22" spans="1:10" x14ac:dyDescent="0.2">
      <c r="B22" s="5" t="s">
        <v>49</v>
      </c>
      <c r="J22" s="5">
        <f>J21+J20</f>
        <v>57222</v>
      </c>
    </row>
    <row r="23" spans="1:10" ht="36.75" customHeight="1" x14ac:dyDescent="0.2">
      <c r="B23" s="6" t="s">
        <v>50</v>
      </c>
      <c r="F23" s="5">
        <v>134000</v>
      </c>
      <c r="G23" s="5">
        <v>774</v>
      </c>
      <c r="H23" s="5">
        <v>0</v>
      </c>
      <c r="I23" s="5">
        <v>0</v>
      </c>
      <c r="J23" s="5">
        <f>SUM(G23:I23)</f>
        <v>774</v>
      </c>
    </row>
    <row r="24" spans="1:10" x14ac:dyDescent="0.2">
      <c r="B24" s="5" t="s">
        <v>51</v>
      </c>
      <c r="F24" s="5">
        <v>204753</v>
      </c>
      <c r="G24" s="5">
        <v>1873</v>
      </c>
      <c r="H24" s="5">
        <v>0</v>
      </c>
      <c r="I24" s="5">
        <v>0</v>
      </c>
      <c r="J24" s="5">
        <f>SUM(G24:I24)</f>
        <v>1873</v>
      </c>
    </row>
    <row r="25" spans="1:10" x14ac:dyDescent="0.2">
      <c r="B25" s="5" t="s">
        <v>52</v>
      </c>
      <c r="F25" s="5">
        <v>-2695200</v>
      </c>
      <c r="G25" s="5">
        <v>-20447</v>
      </c>
      <c r="H25" s="5">
        <v>0</v>
      </c>
      <c r="I25" s="5">
        <v>0</v>
      </c>
      <c r="J25" s="5">
        <f>SUM(G25:I25)</f>
        <v>-20447</v>
      </c>
    </row>
    <row r="26" spans="1:10" x14ac:dyDescent="0.2">
      <c r="A26" s="2" t="s">
        <v>44</v>
      </c>
      <c r="F26" s="5">
        <f>SUM(F19:F25)</f>
        <v>89883412</v>
      </c>
      <c r="G26" s="5">
        <f>SUM(G19:G25)</f>
        <v>269968</v>
      </c>
      <c r="H26" s="5">
        <v>0</v>
      </c>
      <c r="I26" s="5">
        <v>255672</v>
      </c>
      <c r="J26" s="5">
        <v>525640</v>
      </c>
    </row>
    <row r="27" spans="1:10" x14ac:dyDescent="0.2">
      <c r="B27" s="5" t="s">
        <v>47</v>
      </c>
      <c r="F27" s="5">
        <v>0</v>
      </c>
      <c r="G27" s="5">
        <v>0</v>
      </c>
      <c r="H27" s="5">
        <v>0</v>
      </c>
      <c r="I27" s="5">
        <v>79220</v>
      </c>
      <c r="J27" s="5">
        <f>SUM(G27:I27)</f>
        <v>79220</v>
      </c>
    </row>
    <row r="28" spans="1:10" x14ac:dyDescent="0.2">
      <c r="B28" s="5" t="s">
        <v>48</v>
      </c>
      <c r="F28" s="5">
        <v>0</v>
      </c>
      <c r="G28" s="5">
        <v>0</v>
      </c>
      <c r="H28" s="5">
        <v>95</v>
      </c>
      <c r="I28" s="5">
        <v>0</v>
      </c>
      <c r="J28" s="5">
        <f>SUM(G28:I28)</f>
        <v>95</v>
      </c>
    </row>
    <row r="29" spans="1:10" x14ac:dyDescent="0.2">
      <c r="B29" s="5" t="s">
        <v>49</v>
      </c>
      <c r="J29" s="5">
        <f>J28+J27</f>
        <v>79315</v>
      </c>
    </row>
    <row r="30" spans="1:10" ht="36.75" customHeight="1" x14ac:dyDescent="0.2">
      <c r="B30" s="6" t="s">
        <v>50</v>
      </c>
      <c r="F30" s="5">
        <v>1033796</v>
      </c>
      <c r="G30" s="5">
        <v>6686</v>
      </c>
      <c r="H30" s="5">
        <v>0</v>
      </c>
      <c r="I30" s="5">
        <v>0</v>
      </c>
      <c r="J30" s="5">
        <f>SUM(G30:I30)</f>
        <v>6686</v>
      </c>
    </row>
    <row r="31" spans="1:10" x14ac:dyDescent="0.2">
      <c r="B31" s="5" t="s">
        <v>51</v>
      </c>
      <c r="F31" s="5">
        <v>135735</v>
      </c>
      <c r="G31" s="5">
        <v>1345</v>
      </c>
      <c r="J31" s="5">
        <f>SUM(G31:I31)</f>
        <v>1345</v>
      </c>
    </row>
    <row r="32" spans="1:10" x14ac:dyDescent="0.2">
      <c r="B32" s="5" t="s">
        <v>52</v>
      </c>
      <c r="F32" s="5">
        <v>-977100</v>
      </c>
      <c r="G32" s="5">
        <v>-10723</v>
      </c>
      <c r="H32" s="5">
        <v>0</v>
      </c>
      <c r="I32" s="5">
        <v>0</v>
      </c>
      <c r="J32" s="5">
        <f>SUM(G32:I32)</f>
        <v>-10723</v>
      </c>
    </row>
    <row r="33" spans="1:10" x14ac:dyDescent="0.2">
      <c r="A33" s="2" t="s">
        <v>53</v>
      </c>
      <c r="F33" s="5">
        <f>SUM(F26:F32)</f>
        <v>90075843</v>
      </c>
      <c r="G33" s="5">
        <f>SUM(G26:G32)</f>
        <v>267276</v>
      </c>
      <c r="H33" s="5">
        <f>SUM(H26:H32)</f>
        <v>95</v>
      </c>
      <c r="I33" s="5">
        <f>SUM(I26:I32)</f>
        <v>334892</v>
      </c>
      <c r="J33" s="5">
        <f>J26+J29+J30+J31+J32</f>
        <v>602263</v>
      </c>
    </row>
    <row r="34" spans="1:10" x14ac:dyDescent="0.2">
      <c r="B34" s="5" t="s">
        <v>47</v>
      </c>
      <c r="F34" s="5">
        <v>0</v>
      </c>
      <c r="G34" s="5">
        <v>0</v>
      </c>
      <c r="H34" s="5">
        <v>0</v>
      </c>
      <c r="I34" s="5">
        <v>102116</v>
      </c>
      <c r="J34" s="5">
        <f>SUM(G34:I34)</f>
        <v>102116</v>
      </c>
    </row>
    <row r="35" spans="1:10" x14ac:dyDescent="0.2">
      <c r="B35" s="5" t="s">
        <v>48</v>
      </c>
      <c r="F35" s="5">
        <v>0</v>
      </c>
      <c r="G35" s="5">
        <v>0</v>
      </c>
      <c r="H35" s="5">
        <v>259</v>
      </c>
      <c r="I35" s="5">
        <v>0</v>
      </c>
      <c r="J35" s="5">
        <f>SUM(G35:I35)</f>
        <v>259</v>
      </c>
    </row>
    <row r="36" spans="1:10" x14ac:dyDescent="0.2">
      <c r="B36" s="5" t="s">
        <v>49</v>
      </c>
      <c r="J36" s="5">
        <f>J35+J34</f>
        <v>102375</v>
      </c>
    </row>
    <row r="37" spans="1:10" ht="36.75" customHeight="1" x14ac:dyDescent="0.2">
      <c r="B37" s="6" t="s">
        <v>50</v>
      </c>
      <c r="F37" s="5">
        <v>193167</v>
      </c>
      <c r="G37" s="5">
        <v>3297</v>
      </c>
      <c r="H37" s="5">
        <v>0</v>
      </c>
      <c r="I37" s="5">
        <v>0</v>
      </c>
      <c r="J37" s="5">
        <f>SUM(G37:I37)</f>
        <v>3297</v>
      </c>
    </row>
    <row r="38" spans="1:10" x14ac:dyDescent="0.2">
      <c r="B38" s="5" t="s">
        <v>51</v>
      </c>
      <c r="F38" s="5">
        <v>68633</v>
      </c>
      <c r="G38" s="5">
        <v>1444</v>
      </c>
      <c r="J38" s="5">
        <f>SUM(G38:I38)</f>
        <v>1444</v>
      </c>
    </row>
    <row r="39" spans="1:10" x14ac:dyDescent="0.2">
      <c r="B39" s="5" t="s">
        <v>52</v>
      </c>
      <c r="F39" s="5">
        <v>0</v>
      </c>
      <c r="G39" s="5">
        <v>0</v>
      </c>
      <c r="H39" s="5">
        <v>0</v>
      </c>
      <c r="I39" s="5">
        <v>0</v>
      </c>
      <c r="J39" s="5">
        <f>SUM(G39:I39)</f>
        <v>0</v>
      </c>
    </row>
    <row r="40" spans="1:10" x14ac:dyDescent="0.2">
      <c r="A40" s="2" t="s">
        <v>54</v>
      </c>
      <c r="F40" s="5">
        <f>SUM(F33:F39)</f>
        <v>90337643</v>
      </c>
      <c r="G40" s="5">
        <f>SUM(G33:G39)</f>
        <v>272017</v>
      </c>
      <c r="H40" s="5">
        <f>SUM(H33:H39)</f>
        <v>354</v>
      </c>
      <c r="I40" s="5">
        <f>SUM(I33:I39)</f>
        <v>437008</v>
      </c>
      <c r="J40" s="5">
        <f>J33+J36+J37+J38+J39</f>
        <v>709379</v>
      </c>
    </row>
    <row r="41" spans="1:10" x14ac:dyDescent="0.2">
      <c r="B41" s="5" t="s">
        <v>47</v>
      </c>
      <c r="F41" s="5">
        <v>0</v>
      </c>
      <c r="G41" s="5">
        <v>0</v>
      </c>
      <c r="H41" s="5">
        <v>0</v>
      </c>
      <c r="I41" s="5">
        <v>96947</v>
      </c>
      <c r="J41" s="5">
        <f>SUM(G41:I41)</f>
        <v>96947</v>
      </c>
    </row>
    <row r="42" spans="1:10" x14ac:dyDescent="0.2">
      <c r="B42" s="5" t="s">
        <v>48</v>
      </c>
      <c r="F42" s="5">
        <v>0</v>
      </c>
      <c r="G42" s="5">
        <v>0</v>
      </c>
      <c r="H42" s="5">
        <v>-391</v>
      </c>
      <c r="I42" s="5">
        <v>0</v>
      </c>
      <c r="J42" s="5">
        <f>SUM(G42:I42)</f>
        <v>-391</v>
      </c>
    </row>
    <row r="43" spans="1:10" x14ac:dyDescent="0.2">
      <c r="B43" s="5" t="s">
        <v>49</v>
      </c>
      <c r="J43" s="5">
        <f>J42+J41</f>
        <v>96556</v>
      </c>
    </row>
    <row r="44" spans="1:10" ht="36.75" customHeight="1" x14ac:dyDescent="0.2">
      <c r="B44" s="6" t="s">
        <v>50</v>
      </c>
      <c r="F44" s="5">
        <v>389800</v>
      </c>
      <c r="G44" s="5">
        <v>11268</v>
      </c>
      <c r="H44" s="5">
        <v>0</v>
      </c>
      <c r="I44" s="5">
        <v>0</v>
      </c>
      <c r="J44" s="5">
        <f>SUM(G44:I44)</f>
        <v>11268</v>
      </c>
    </row>
    <row r="45" spans="1:10" x14ac:dyDescent="0.2">
      <c r="B45" s="5" t="s">
        <v>51</v>
      </c>
      <c r="F45" s="5">
        <v>83765</v>
      </c>
      <c r="G45" s="5">
        <v>1640</v>
      </c>
      <c r="J45" s="5">
        <f>SUM(G45:I45)</f>
        <v>1640</v>
      </c>
    </row>
    <row r="46" spans="1:10" x14ac:dyDescent="0.2">
      <c r="B46" s="5" t="s">
        <v>52</v>
      </c>
      <c r="F46" s="5">
        <v>-366000</v>
      </c>
      <c r="G46" s="5">
        <v>-8873</v>
      </c>
      <c r="H46" s="5">
        <v>0</v>
      </c>
      <c r="I46" s="5">
        <v>0</v>
      </c>
      <c r="J46" s="5">
        <f>SUM(G46:I46)</f>
        <v>-8873</v>
      </c>
    </row>
    <row r="47" spans="1:10" x14ac:dyDescent="0.2">
      <c r="A47" s="2" t="s">
        <v>55</v>
      </c>
      <c r="F47" s="5">
        <f>SUM(F40:F46)</f>
        <v>90445208</v>
      </c>
      <c r="G47" s="5">
        <f>SUM(G40:G46)</f>
        <v>276052</v>
      </c>
      <c r="H47" s="5">
        <f>SUM(H40:H46)</f>
        <v>-37</v>
      </c>
      <c r="I47" s="5">
        <f>SUM(I40:I46)</f>
        <v>533955</v>
      </c>
      <c r="J47" s="5">
        <f>J40+J43+J44+J45+J46</f>
        <v>809970</v>
      </c>
    </row>
    <row r="48" spans="1:10" s="55" customFormat="1" x14ac:dyDescent="0.2">
      <c r="B48" s="55" t="s">
        <v>47</v>
      </c>
      <c r="F48" s="55">
        <v>0</v>
      </c>
      <c r="G48" s="55">
        <v>0</v>
      </c>
      <c r="H48" s="55">
        <v>0</v>
      </c>
      <c r="I48" s="55">
        <f>'Income Statement'!J44</f>
        <v>145124.45376</v>
      </c>
      <c r="J48" s="55">
        <f>SUM(G48:I48)</f>
        <v>145124.45376</v>
      </c>
    </row>
    <row r="49" spans="1:10" s="55" customFormat="1" x14ac:dyDescent="0.2">
      <c r="B49" s="55" t="s">
        <v>48</v>
      </c>
      <c r="F49" s="55">
        <v>0</v>
      </c>
      <c r="G49" s="55">
        <v>0</v>
      </c>
      <c r="I49" s="55">
        <v>0</v>
      </c>
      <c r="J49" s="55">
        <f>SUM(G49:I49)</f>
        <v>0</v>
      </c>
    </row>
    <row r="50" spans="1:10" s="55" customFormat="1" x14ac:dyDescent="0.2">
      <c r="B50" s="55" t="s">
        <v>49</v>
      </c>
      <c r="J50" s="55">
        <f>J49+J48</f>
        <v>145124.45376</v>
      </c>
    </row>
    <row r="51" spans="1:10" s="55" customFormat="1" ht="36.75" customHeight="1" x14ac:dyDescent="0.2">
      <c r="B51" s="65" t="s">
        <v>50</v>
      </c>
      <c r="F51" s="55">
        <v>0</v>
      </c>
      <c r="G51" s="55">
        <v>0</v>
      </c>
      <c r="H51" s="55">
        <v>0</v>
      </c>
      <c r="I51" s="55">
        <v>0</v>
      </c>
      <c r="J51" s="55">
        <f>SUM(G51:I51)</f>
        <v>0</v>
      </c>
    </row>
    <row r="52" spans="1:10" s="55" customFormat="1" x14ac:dyDescent="0.2">
      <c r="B52" s="55" t="s">
        <v>51</v>
      </c>
      <c r="F52" s="55">
        <v>0</v>
      </c>
      <c r="G52" s="55">
        <v>0</v>
      </c>
      <c r="J52" s="55">
        <f>SUM(G52:I52)</f>
        <v>0</v>
      </c>
    </row>
    <row r="53" spans="1:10" s="55" customFormat="1" x14ac:dyDescent="0.2">
      <c r="B53" s="55" t="s">
        <v>52</v>
      </c>
      <c r="F53" s="55">
        <v>0</v>
      </c>
      <c r="G53" s="55">
        <v>0</v>
      </c>
      <c r="H53" s="55">
        <v>0</v>
      </c>
      <c r="I53" s="55">
        <v>0</v>
      </c>
      <c r="J53" s="55">
        <f>SUM(G53:I53)</f>
        <v>0</v>
      </c>
    </row>
    <row r="54" spans="1:10" s="55" customFormat="1" x14ac:dyDescent="0.2">
      <c r="A54" s="66" t="s">
        <v>210</v>
      </c>
      <c r="F54" s="55">
        <f>SUM(F47:F53)</f>
        <v>90445208</v>
      </c>
      <c r="G54" s="55">
        <f>SUM(G47:G53)</f>
        <v>276052</v>
      </c>
      <c r="H54" s="55">
        <f>SUM(H47:H53)</f>
        <v>-37</v>
      </c>
      <c r="I54" s="55">
        <f>SUM(I47:I53)</f>
        <v>679079.45375999995</v>
      </c>
      <c r="J54" s="55">
        <f>J47+J50+J51+J52+J53</f>
        <v>955094.45375999995</v>
      </c>
    </row>
    <row r="55" spans="1:10" s="55" customFormat="1" x14ac:dyDescent="0.2">
      <c r="B55" s="55" t="s">
        <v>47</v>
      </c>
      <c r="F55" s="55">
        <v>0</v>
      </c>
      <c r="G55" s="55">
        <v>0</v>
      </c>
      <c r="H55" s="55">
        <v>0</v>
      </c>
      <c r="I55" s="55">
        <f>'Income Statement'!K44</f>
        <v>166893.12182399991</v>
      </c>
      <c r="J55" s="55">
        <f>SUM(G55:I55)</f>
        <v>166893.12182399991</v>
      </c>
    </row>
    <row r="56" spans="1:10" s="55" customFormat="1" x14ac:dyDescent="0.2">
      <c r="B56" s="55" t="s">
        <v>48</v>
      </c>
      <c r="F56" s="55">
        <v>0</v>
      </c>
      <c r="G56" s="55">
        <v>0</v>
      </c>
      <c r="I56" s="55">
        <v>0</v>
      </c>
      <c r="J56" s="55">
        <f>SUM(G56:I56)</f>
        <v>0</v>
      </c>
    </row>
    <row r="57" spans="1:10" s="55" customFormat="1" x14ac:dyDescent="0.2">
      <c r="B57" s="55" t="s">
        <v>49</v>
      </c>
      <c r="J57" s="55">
        <f>J56+J55</f>
        <v>166893.12182399991</v>
      </c>
    </row>
    <row r="58" spans="1:10" s="55" customFormat="1" ht="36.75" customHeight="1" x14ac:dyDescent="0.2">
      <c r="B58" s="65" t="s">
        <v>50</v>
      </c>
      <c r="F58" s="55">
        <v>0</v>
      </c>
      <c r="G58" s="55">
        <v>0</v>
      </c>
      <c r="H58" s="55">
        <v>0</v>
      </c>
      <c r="I58" s="55">
        <v>0</v>
      </c>
      <c r="J58" s="55">
        <f>SUM(G58:I58)</f>
        <v>0</v>
      </c>
    </row>
    <row r="59" spans="1:10" s="55" customFormat="1" x14ac:dyDescent="0.2">
      <c r="B59" s="55" t="s">
        <v>51</v>
      </c>
      <c r="F59" s="55">
        <v>0</v>
      </c>
      <c r="G59" s="55">
        <v>0</v>
      </c>
      <c r="J59" s="55">
        <f>SUM(G59:I59)</f>
        <v>0</v>
      </c>
    </row>
    <row r="60" spans="1:10" s="55" customFormat="1" x14ac:dyDescent="0.2">
      <c r="B60" s="55" t="s">
        <v>52</v>
      </c>
      <c r="F60" s="55">
        <v>0</v>
      </c>
      <c r="G60" s="55">
        <v>0</v>
      </c>
      <c r="H60" s="55">
        <v>0</v>
      </c>
      <c r="I60" s="55">
        <v>0</v>
      </c>
      <c r="J60" s="55">
        <f>SUM(G60:I60)</f>
        <v>0</v>
      </c>
    </row>
    <row r="61" spans="1:10" s="55" customFormat="1" x14ac:dyDescent="0.2">
      <c r="A61" s="66" t="s">
        <v>211</v>
      </c>
      <c r="F61" s="55">
        <f>SUM(F54:F60)</f>
        <v>90445208</v>
      </c>
      <c r="G61" s="55">
        <f>SUM(G54:G60)</f>
        <v>276052</v>
      </c>
      <c r="H61" s="55">
        <f>SUM(H54:H60)</f>
        <v>-37</v>
      </c>
      <c r="I61" s="55">
        <f>SUM(I54:I60)</f>
        <v>845972.57558399986</v>
      </c>
      <c r="J61" s="55">
        <f>J54+J57+J58+J59+J60</f>
        <v>1121987.575584</v>
      </c>
    </row>
    <row r="62" spans="1:10" s="55" customFormat="1" x14ac:dyDescent="0.2">
      <c r="B62" s="55" t="s">
        <v>47</v>
      </c>
      <c r="F62" s="55">
        <v>0</v>
      </c>
      <c r="G62" s="55">
        <v>0</v>
      </c>
      <c r="H62" s="55">
        <v>0</v>
      </c>
      <c r="I62" s="55">
        <f>'Income Statement'!L48</f>
        <v>189717.65274617996</v>
      </c>
      <c r="J62" s="55">
        <f>SUM(G62:I62)</f>
        <v>189717.65274617996</v>
      </c>
    </row>
    <row r="63" spans="1:10" s="55" customFormat="1" x14ac:dyDescent="0.2">
      <c r="B63" s="55" t="s">
        <v>48</v>
      </c>
      <c r="F63" s="55">
        <v>0</v>
      </c>
      <c r="G63" s="55">
        <v>0</v>
      </c>
      <c r="I63" s="55">
        <v>0</v>
      </c>
      <c r="J63" s="55">
        <f>SUM(G63:I63)</f>
        <v>0</v>
      </c>
    </row>
    <row r="64" spans="1:10" s="55" customFormat="1" x14ac:dyDescent="0.2">
      <c r="B64" s="55" t="s">
        <v>49</v>
      </c>
      <c r="J64" s="55">
        <f>J63+J62</f>
        <v>189717.65274617996</v>
      </c>
    </row>
    <row r="65" spans="1:10" s="55" customFormat="1" ht="36.75" customHeight="1" x14ac:dyDescent="0.2">
      <c r="B65" s="65" t="s">
        <v>50</v>
      </c>
      <c r="F65" s="55">
        <v>0</v>
      </c>
      <c r="G65" s="55">
        <v>0</v>
      </c>
      <c r="H65" s="55">
        <v>0</v>
      </c>
      <c r="I65" s="55">
        <v>0</v>
      </c>
      <c r="J65" s="55">
        <f>SUM(G65:I65)</f>
        <v>0</v>
      </c>
    </row>
    <row r="66" spans="1:10" s="55" customFormat="1" x14ac:dyDescent="0.2">
      <c r="B66" s="55" t="s">
        <v>51</v>
      </c>
      <c r="F66" s="55">
        <v>0</v>
      </c>
      <c r="G66" s="55">
        <v>0</v>
      </c>
      <c r="J66" s="55">
        <f>SUM(G66:I66)</f>
        <v>0</v>
      </c>
    </row>
    <row r="67" spans="1:10" s="55" customFormat="1" x14ac:dyDescent="0.2">
      <c r="B67" s="55" t="s">
        <v>52</v>
      </c>
      <c r="F67" s="55">
        <v>0</v>
      </c>
      <c r="G67" s="55">
        <v>0</v>
      </c>
      <c r="H67" s="55">
        <v>0</v>
      </c>
      <c r="I67" s="55">
        <v>0</v>
      </c>
      <c r="J67" s="55">
        <f>SUM(G67:I67)</f>
        <v>0</v>
      </c>
    </row>
    <row r="68" spans="1:10" s="55" customFormat="1" x14ac:dyDescent="0.2">
      <c r="A68" s="66" t="s">
        <v>212</v>
      </c>
      <c r="F68" s="55">
        <f>SUM(F61:F67)</f>
        <v>90445208</v>
      </c>
      <c r="G68" s="55">
        <f>SUM(G61:G67)</f>
        <v>276052</v>
      </c>
      <c r="H68" s="55">
        <f>SUM(H61:H67)</f>
        <v>-37</v>
      </c>
      <c r="I68" s="55">
        <f>SUM(I61:I67)</f>
        <v>1035690.2283301798</v>
      </c>
      <c r="J68" s="55">
        <f>J61+J64+J65+J66+J67</f>
        <v>1311705.22833018</v>
      </c>
    </row>
    <row r="69" spans="1:10" s="55" customFormat="1" x14ac:dyDescent="0.2">
      <c r="B69" s="55" t="s">
        <v>47</v>
      </c>
      <c r="F69" s="55">
        <v>0</v>
      </c>
      <c r="G69" s="55">
        <v>0</v>
      </c>
      <c r="H69" s="55">
        <v>0</v>
      </c>
      <c r="I69" s="55">
        <f>'Income Statement'!M44</f>
        <v>240175.89161691832</v>
      </c>
      <c r="J69" s="55">
        <f>SUM(G69:I69)</f>
        <v>240175.89161691832</v>
      </c>
    </row>
    <row r="70" spans="1:10" s="55" customFormat="1" x14ac:dyDescent="0.2">
      <c r="B70" s="55" t="s">
        <v>48</v>
      </c>
      <c r="F70" s="55">
        <v>0</v>
      </c>
      <c r="G70" s="55">
        <v>0</v>
      </c>
      <c r="I70" s="55">
        <v>0</v>
      </c>
      <c r="J70" s="55">
        <f>SUM(G70:I70)</f>
        <v>0</v>
      </c>
    </row>
    <row r="71" spans="1:10" s="55" customFormat="1" x14ac:dyDescent="0.2">
      <c r="B71" s="55" t="s">
        <v>49</v>
      </c>
      <c r="J71" s="55">
        <f>J70+J69</f>
        <v>240175.89161691832</v>
      </c>
    </row>
    <row r="72" spans="1:10" s="55" customFormat="1" ht="36.75" customHeight="1" x14ac:dyDescent="0.2">
      <c r="B72" s="65" t="s">
        <v>50</v>
      </c>
      <c r="F72" s="55">
        <v>0</v>
      </c>
      <c r="G72" s="55">
        <v>0</v>
      </c>
      <c r="H72" s="55">
        <v>0</v>
      </c>
      <c r="I72" s="55">
        <v>0</v>
      </c>
      <c r="J72" s="55">
        <f>SUM(G72:I72)</f>
        <v>0</v>
      </c>
    </row>
    <row r="73" spans="1:10" s="55" customFormat="1" x14ac:dyDescent="0.2">
      <c r="B73" s="55" t="s">
        <v>51</v>
      </c>
      <c r="F73" s="55">
        <v>0</v>
      </c>
      <c r="G73" s="55">
        <v>0</v>
      </c>
      <c r="J73" s="55">
        <f>SUM(G73:I73)</f>
        <v>0</v>
      </c>
    </row>
    <row r="74" spans="1:10" s="55" customFormat="1" x14ac:dyDescent="0.2">
      <c r="B74" s="55" t="s">
        <v>52</v>
      </c>
      <c r="F74" s="55">
        <v>0</v>
      </c>
      <c r="G74" s="55">
        <v>0</v>
      </c>
      <c r="H74" s="55">
        <v>0</v>
      </c>
      <c r="I74" s="55">
        <v>0</v>
      </c>
      <c r="J74" s="55">
        <f>SUM(G74:I74)</f>
        <v>0</v>
      </c>
    </row>
    <row r="75" spans="1:10" s="55" customFormat="1" x14ac:dyDescent="0.2">
      <c r="A75" s="66" t="s">
        <v>213</v>
      </c>
      <c r="F75" s="55">
        <f>SUM(F68:F74)</f>
        <v>90445208</v>
      </c>
      <c r="G75" s="55">
        <f>SUM(G68:G74)</f>
        <v>276052</v>
      </c>
      <c r="H75" s="55">
        <f>SUM(H68:H74)</f>
        <v>-37</v>
      </c>
      <c r="I75" s="55">
        <f>SUM(I68:I74)</f>
        <v>1275866.1199470982</v>
      </c>
      <c r="J75" s="55">
        <f>J68+J71+J72+J73+J74</f>
        <v>1551881.1199470984</v>
      </c>
    </row>
    <row r="76" spans="1:10" s="55" customFormat="1" x14ac:dyDescent="0.2">
      <c r="B76" s="55" t="s">
        <v>47</v>
      </c>
      <c r="F76" s="55">
        <v>0</v>
      </c>
      <c r="G76" s="55">
        <v>0</v>
      </c>
      <c r="H76" s="55">
        <v>0</v>
      </c>
      <c r="I76" s="55">
        <f>'Income Statement'!N44</f>
        <v>278604.03427562525</v>
      </c>
      <c r="J76" s="55">
        <f>SUM(G76:I76)</f>
        <v>278604.03427562525</v>
      </c>
    </row>
    <row r="77" spans="1:10" s="55" customFormat="1" x14ac:dyDescent="0.2">
      <c r="B77" s="55" t="s">
        <v>48</v>
      </c>
      <c r="F77" s="55">
        <v>0</v>
      </c>
      <c r="G77" s="55">
        <v>0</v>
      </c>
      <c r="I77" s="55">
        <v>0</v>
      </c>
      <c r="J77" s="55">
        <f>SUM(G77:I77)</f>
        <v>0</v>
      </c>
    </row>
    <row r="78" spans="1:10" s="55" customFormat="1" x14ac:dyDescent="0.2">
      <c r="B78" s="55" t="s">
        <v>49</v>
      </c>
      <c r="J78" s="55">
        <f>J77+J76</f>
        <v>278604.03427562525</v>
      </c>
    </row>
    <row r="79" spans="1:10" s="55" customFormat="1" ht="36.75" customHeight="1" x14ac:dyDescent="0.2">
      <c r="B79" s="65" t="s">
        <v>50</v>
      </c>
      <c r="F79" s="55">
        <v>0</v>
      </c>
      <c r="G79" s="55">
        <v>0</v>
      </c>
      <c r="H79" s="55">
        <v>0</v>
      </c>
      <c r="I79" s="55">
        <v>0</v>
      </c>
      <c r="J79" s="55">
        <f>SUM(G79:I79)</f>
        <v>0</v>
      </c>
    </row>
    <row r="80" spans="1:10" s="55" customFormat="1" x14ac:dyDescent="0.2">
      <c r="B80" s="55" t="s">
        <v>51</v>
      </c>
      <c r="F80" s="55">
        <v>0</v>
      </c>
      <c r="G80" s="55">
        <v>0</v>
      </c>
      <c r="J80" s="55">
        <f>SUM(G80:I80)</f>
        <v>0</v>
      </c>
    </row>
    <row r="81" spans="1:10" s="55" customFormat="1" x14ac:dyDescent="0.2">
      <c r="B81" s="55" t="s">
        <v>52</v>
      </c>
      <c r="F81" s="55">
        <v>0</v>
      </c>
      <c r="G81" s="55">
        <v>0</v>
      </c>
      <c r="H81" s="55">
        <v>0</v>
      </c>
      <c r="I81" s="55">
        <v>0</v>
      </c>
      <c r="J81" s="55">
        <f>SUM(G81:I81)</f>
        <v>0</v>
      </c>
    </row>
    <row r="82" spans="1:10" s="55" customFormat="1" x14ac:dyDescent="0.2">
      <c r="A82" s="66" t="s">
        <v>214</v>
      </c>
      <c r="F82" s="55">
        <f>SUM(F75:F81)</f>
        <v>90445208</v>
      </c>
      <c r="G82" s="55">
        <f>SUM(G75:G81)</f>
        <v>276052</v>
      </c>
      <c r="H82" s="55">
        <f>SUM(H75:H81)</f>
        <v>-37</v>
      </c>
      <c r="I82" s="55">
        <f>SUM(I75:I81)</f>
        <v>1554470.1542227236</v>
      </c>
      <c r="J82" s="55">
        <f>J75+J78+J79+J80+J81</f>
        <v>1830485.1542227236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selection sqref="A1:C1"/>
    </sheetView>
  </sheetViews>
  <sheetFormatPr defaultRowHeight="12.75" x14ac:dyDescent="0.2"/>
  <cols>
    <col min="1" max="2" width="9.140625" style="5" customWidth="1"/>
    <col min="3" max="3" width="24.5703125" style="5" customWidth="1"/>
    <col min="4" max="4" width="19" style="5" bestFit="1" customWidth="1"/>
    <col min="5" max="7" width="11.28515625" style="5" bestFit="1" customWidth="1"/>
    <col min="8" max="8" width="12.85546875" style="5" bestFit="1" customWidth="1"/>
    <col min="9" max="9" width="9" style="5" bestFit="1" customWidth="1"/>
    <col min="10" max="14" width="9" style="80" bestFit="1" customWidth="1"/>
    <col min="15" max="16384" width="9.140625" style="5"/>
  </cols>
  <sheetData>
    <row r="1" spans="1:14" x14ac:dyDescent="0.2">
      <c r="A1" s="5" t="s">
        <v>241</v>
      </c>
    </row>
    <row r="2" spans="1:14" s="1" customFormat="1" ht="18" x14ac:dyDescent="0.25">
      <c r="A2" s="1" t="s">
        <v>120</v>
      </c>
    </row>
    <row r="5" spans="1:14" s="3" customFormat="1" ht="15.75" x14ac:dyDescent="0.25">
      <c r="A5" s="3" t="s">
        <v>121</v>
      </c>
    </row>
    <row r="7" spans="1:14" ht="15.75" x14ac:dyDescent="0.25">
      <c r="J7" s="79" t="s">
        <v>209</v>
      </c>
    </row>
    <row r="8" spans="1:14" s="2" customFormat="1" x14ac:dyDescent="0.2">
      <c r="D8" s="2" t="s">
        <v>70</v>
      </c>
      <c r="E8" s="2" t="s">
        <v>68</v>
      </c>
      <c r="F8" s="2" t="s">
        <v>65</v>
      </c>
      <c r="G8" s="2" t="s">
        <v>63</v>
      </c>
      <c r="H8" s="2" t="s">
        <v>3</v>
      </c>
      <c r="I8" s="2" t="s">
        <v>2</v>
      </c>
      <c r="J8" s="54" t="s">
        <v>129</v>
      </c>
      <c r="K8" s="54" t="s">
        <v>130</v>
      </c>
      <c r="L8" s="54" t="s">
        <v>131</v>
      </c>
      <c r="M8" s="54" t="s">
        <v>132</v>
      </c>
      <c r="N8" s="54" t="s">
        <v>144</v>
      </c>
    </row>
    <row r="9" spans="1:14" x14ac:dyDescent="0.2">
      <c r="J9" s="55"/>
      <c r="K9" s="55"/>
      <c r="L9" s="55"/>
      <c r="M9" s="55"/>
      <c r="N9" s="55"/>
    </row>
    <row r="10" spans="1:14" x14ac:dyDescent="0.2">
      <c r="B10" s="5" t="s">
        <v>47</v>
      </c>
      <c r="D10" s="5">
        <f>'Income Statement'!D44</f>
        <v>57035</v>
      </c>
      <c r="E10" s="5">
        <f>'Income Statement'!E44</f>
        <v>73697</v>
      </c>
      <c r="F10" s="5">
        <f>'Income Statement'!F44</f>
        <v>60785</v>
      </c>
      <c r="G10" s="5">
        <f>'Income Statement'!G44</f>
        <v>79220</v>
      </c>
      <c r="H10" s="5">
        <f>'Income Statement'!H44</f>
        <v>102116</v>
      </c>
      <c r="I10" s="5">
        <f>'Income Statement'!I44</f>
        <v>96947</v>
      </c>
      <c r="J10" s="55">
        <f>'Income Statement'!J44</f>
        <v>145124.45376</v>
      </c>
      <c r="K10" s="55">
        <f>'Income Statement'!K44</f>
        <v>166893.12182399991</v>
      </c>
      <c r="L10" s="55">
        <f>'Income Statement'!L44</f>
        <v>189717.65274617996</v>
      </c>
      <c r="M10" s="55">
        <f>'Income Statement'!M44</f>
        <v>240175.89161691832</v>
      </c>
      <c r="N10" s="55">
        <f>'Income Statement'!N44</f>
        <v>278604.03427562525</v>
      </c>
    </row>
    <row r="11" spans="1:14" x14ac:dyDescent="0.2">
      <c r="J11" s="55"/>
      <c r="K11" s="55"/>
      <c r="L11" s="55"/>
      <c r="M11" s="55"/>
      <c r="N11" s="55"/>
    </row>
    <row r="12" spans="1:14" x14ac:dyDescent="0.2">
      <c r="B12" s="5" t="s">
        <v>122</v>
      </c>
      <c r="C12" s="5" t="s">
        <v>123</v>
      </c>
      <c r="D12" s="5">
        <f>'Income Statement'!D22</f>
        <v>14350</v>
      </c>
      <c r="E12" s="5">
        <f>'Income Statement'!E22</f>
        <v>16308</v>
      </c>
      <c r="F12" s="5">
        <f>'Income Statement'!F22</f>
        <v>25545</v>
      </c>
      <c r="G12" s="5">
        <f>'Income Statement'!G22</f>
        <v>29649</v>
      </c>
      <c r="H12" s="5">
        <f>'Income Statement'!H22</f>
        <v>30466</v>
      </c>
      <c r="I12" s="5">
        <f>'Income Statement'!I22</f>
        <v>31456</v>
      </c>
      <c r="J12" s="55">
        <f>'Income Statement'!J22</f>
        <v>41862.823199999999</v>
      </c>
      <c r="K12" s="55">
        <f>'Income Statement'!K22</f>
        <v>48142.246679999997</v>
      </c>
      <c r="L12" s="55">
        <f>'Income Statement'!L22</f>
        <v>56326.428615599987</v>
      </c>
      <c r="M12" s="55">
        <f>'Income Statement'!M22</f>
        <v>69281.507197187995</v>
      </c>
      <c r="N12" s="55">
        <f>N14</f>
        <v>91166.213610000006</v>
      </c>
    </row>
    <row r="13" spans="1:14" x14ac:dyDescent="0.2">
      <c r="B13" s="5" t="s">
        <v>28</v>
      </c>
      <c r="C13" s="5" t="s">
        <v>119</v>
      </c>
      <c r="D13" s="5">
        <f>NWC!E10</f>
        <v>0</v>
      </c>
      <c r="E13" s="5">
        <f>NWC!F28</f>
        <v>-3929</v>
      </c>
      <c r="F13" s="5">
        <f>NWC!G28</f>
        <v>-725</v>
      </c>
      <c r="G13" s="5">
        <f>NWC!H28</f>
        <v>4935</v>
      </c>
      <c r="H13" s="5">
        <f>NWC!I28</f>
        <v>-5379</v>
      </c>
      <c r="I13" s="5">
        <f>NWC!J28</f>
        <v>6138</v>
      </c>
      <c r="J13" s="55">
        <f>NWC!K28</f>
        <v>18094.938439999984</v>
      </c>
      <c r="K13" s="55">
        <f>NWC!L28</f>
        <v>11388.590765999979</v>
      </c>
      <c r="L13" s="55">
        <f>NWC!M28</f>
        <v>15013.816112340006</v>
      </c>
      <c r="M13" s="55">
        <f>NWC!N28</f>
        <v>23325.115462014597</v>
      </c>
      <c r="N13" s="55">
        <f>NWC!O28</f>
        <v>17668.883774894959</v>
      </c>
    </row>
    <row r="14" spans="1:14" x14ac:dyDescent="0.2">
      <c r="C14" s="5" t="s">
        <v>124</v>
      </c>
      <c r="D14" s="9">
        <f>Openings.Acquisitions!F25</f>
        <v>45900</v>
      </c>
      <c r="E14" s="9">
        <f>Openings.Acquisitions!G25</f>
        <v>85900</v>
      </c>
      <c r="F14" s="9">
        <f>Openings.Acquisitions!H25</f>
        <v>70700</v>
      </c>
      <c r="G14" s="9">
        <f>Openings.Acquisitions!I25</f>
        <v>61800</v>
      </c>
      <c r="H14" s="9">
        <f>Openings.Acquisitions!J25</f>
        <v>66200</v>
      </c>
      <c r="I14" s="9">
        <f>Openings.Acquisitions!K25</f>
        <v>97000</v>
      </c>
      <c r="J14" s="57">
        <f>Openings.Acquisitions!L25</f>
        <v>81000</v>
      </c>
      <c r="K14" s="57">
        <f>Openings.Acquisitions!M25</f>
        <v>83430</v>
      </c>
      <c r="L14" s="57">
        <f>Openings.Acquisitions!N25</f>
        <v>85932.900000000009</v>
      </c>
      <c r="M14" s="57">
        <f>Openings.Acquisitions!O25</f>
        <v>88510.887000000017</v>
      </c>
      <c r="N14" s="57">
        <f>Openings.Acquisitions!P25</f>
        <v>91166.213610000006</v>
      </c>
    </row>
    <row r="15" spans="1:14" x14ac:dyDescent="0.2">
      <c r="J15" s="55"/>
      <c r="K15" s="55"/>
      <c r="L15" s="55"/>
      <c r="M15" s="55"/>
      <c r="N15" s="55"/>
    </row>
    <row r="16" spans="1:14" x14ac:dyDescent="0.2">
      <c r="B16" s="5" t="s">
        <v>125</v>
      </c>
      <c r="D16" s="5">
        <f>D10+D12-D13-D14</f>
        <v>25485</v>
      </c>
      <c r="E16" s="5">
        <f>E10+E12-E13-E14</f>
        <v>8034</v>
      </c>
      <c r="F16" s="5">
        <f>F10+F12-F13-F14</f>
        <v>16355</v>
      </c>
      <c r="G16" s="5">
        <f>G10+G12-G13-G14</f>
        <v>42134</v>
      </c>
      <c r="H16" s="5">
        <f>H10+H12-H13-H14</f>
        <v>71761</v>
      </c>
      <c r="I16" s="5">
        <f t="shared" ref="I16:N16" si="0">I10+I12-I13-I14</f>
        <v>25265</v>
      </c>
      <c r="J16" s="55">
        <f t="shared" si="0"/>
        <v>87892.33851999999</v>
      </c>
      <c r="K16" s="55">
        <f t="shared" si="0"/>
        <v>120216.77773799992</v>
      </c>
      <c r="L16" s="55">
        <f t="shared" si="0"/>
        <v>145097.3652494399</v>
      </c>
      <c r="M16" s="55">
        <f t="shared" si="0"/>
        <v>197621.39635209166</v>
      </c>
      <c r="N16" s="55">
        <f t="shared" si="0"/>
        <v>260935.15050073023</v>
      </c>
    </row>
    <row r="20" spans="1:8" s="3" customFormat="1" ht="15.75" x14ac:dyDescent="0.25">
      <c r="A20" s="3" t="s">
        <v>126</v>
      </c>
    </row>
    <row r="23" spans="1:8" x14ac:dyDescent="0.2">
      <c r="D23" s="5" t="s">
        <v>160</v>
      </c>
      <c r="E23" s="36">
        <v>1</v>
      </c>
      <c r="G23" s="5" t="s">
        <v>162</v>
      </c>
      <c r="H23" s="11">
        <v>1.24</v>
      </c>
    </row>
    <row r="24" spans="1:8" x14ac:dyDescent="0.2">
      <c r="D24" s="5" t="s">
        <v>161</v>
      </c>
      <c r="E24" s="5">
        <v>0</v>
      </c>
      <c r="G24" s="5" t="s">
        <v>163</v>
      </c>
      <c r="H24" s="36">
        <v>0.39</v>
      </c>
    </row>
    <row r="25" spans="1:8" x14ac:dyDescent="0.2">
      <c r="G25" s="5" t="s">
        <v>164</v>
      </c>
      <c r="H25" s="43">
        <v>6.5000000000000002E-2</v>
      </c>
    </row>
    <row r="26" spans="1:8" x14ac:dyDescent="0.2">
      <c r="G26" s="5" t="s">
        <v>165</v>
      </c>
      <c r="H26" s="43">
        <v>4.4999999999999998E-2</v>
      </c>
    </row>
    <row r="27" spans="1:8" x14ac:dyDescent="0.2">
      <c r="D27" s="5" t="s">
        <v>166</v>
      </c>
      <c r="E27" s="43">
        <f>H26+H23*H25</f>
        <v>0.12559999999999999</v>
      </c>
    </row>
    <row r="28" spans="1:8" x14ac:dyDescent="0.2">
      <c r="D28" s="5" t="s">
        <v>170</v>
      </c>
      <c r="E28" s="36"/>
    </row>
    <row r="29" spans="1:8" s="3" customFormat="1" ht="15.75" x14ac:dyDescent="0.25">
      <c r="A29" s="3" t="s">
        <v>167</v>
      </c>
    </row>
    <row r="31" spans="1:8" x14ac:dyDescent="0.2">
      <c r="D31" s="5" t="s">
        <v>168</v>
      </c>
      <c r="E31" s="36">
        <v>0.04</v>
      </c>
    </row>
    <row r="32" spans="1:8" x14ac:dyDescent="0.2">
      <c r="D32" s="5" t="s">
        <v>169</v>
      </c>
      <c r="E32" s="43">
        <f>E27</f>
        <v>0.12559999999999999</v>
      </c>
    </row>
    <row r="34" spans="1:8" x14ac:dyDescent="0.2">
      <c r="D34" s="5">
        <v>1</v>
      </c>
      <c r="E34" s="5">
        <v>2</v>
      </c>
      <c r="F34" s="5">
        <v>3</v>
      </c>
      <c r="G34" s="5">
        <v>4</v>
      </c>
      <c r="H34" s="5">
        <v>5</v>
      </c>
    </row>
    <row r="35" spans="1:8" x14ac:dyDescent="0.2">
      <c r="D35" s="5" t="str">
        <f>J8</f>
        <v>FY 2007</v>
      </c>
      <c r="E35" s="5" t="str">
        <f>K8</f>
        <v>FY 2008</v>
      </c>
      <c r="F35" s="5" t="str">
        <f>L8</f>
        <v>FY 2009</v>
      </c>
      <c r="G35" s="5" t="str">
        <f>M8</f>
        <v>FY 2010</v>
      </c>
      <c r="H35" s="5" t="str">
        <f>N8</f>
        <v>FY 2011</v>
      </c>
    </row>
    <row r="37" spans="1:8" x14ac:dyDescent="0.2">
      <c r="C37" s="5" t="s">
        <v>125</v>
      </c>
      <c r="D37" s="5">
        <f>J16</f>
        <v>87892.33851999999</v>
      </c>
      <c r="E37" s="5">
        <f>K16</f>
        <v>120216.77773799992</v>
      </c>
      <c r="F37" s="5">
        <f>L16</f>
        <v>145097.3652494399</v>
      </c>
      <c r="G37" s="5">
        <f>M16</f>
        <v>197621.39635209166</v>
      </c>
      <c r="H37" s="5">
        <f>N16</f>
        <v>260935.15050073023</v>
      </c>
    </row>
    <row r="38" spans="1:8" x14ac:dyDescent="0.2">
      <c r="C38" s="5" t="s">
        <v>171</v>
      </c>
      <c r="H38" s="5">
        <f>(H37*(1+E31))/(E32-E31)</f>
        <v>3170240.1462705554</v>
      </c>
    </row>
    <row r="39" spans="1:8" x14ac:dyDescent="0.2">
      <c r="C39" s="5" t="s">
        <v>172</v>
      </c>
      <c r="D39" s="11">
        <f>D37/(1+$E$32)^D34</f>
        <v>78084.877860696506</v>
      </c>
      <c r="E39" s="11">
        <f>E37/(1+$E$32)^E34</f>
        <v>94884.858485329925</v>
      </c>
      <c r="F39" s="11">
        <f>F37/(1+$E$32)^F34</f>
        <v>101743.64049588879</v>
      </c>
      <c r="G39" s="11">
        <f>G37/(1+$E$32)^G34</f>
        <v>123111.21739823328</v>
      </c>
      <c r="H39" s="11">
        <f>H38/(1+$E$32)^H34</f>
        <v>1754574.200794827</v>
      </c>
    </row>
    <row r="41" spans="1:8" x14ac:dyDescent="0.2">
      <c r="D41" s="5" t="s">
        <v>173</v>
      </c>
      <c r="F41" s="5">
        <f>D39+E39+F39+G39+H39</f>
        <v>2152398.7950349753</v>
      </c>
    </row>
    <row r="43" spans="1:8" s="3" customFormat="1" ht="15.75" x14ac:dyDescent="0.25">
      <c r="A43" s="3" t="s">
        <v>174</v>
      </c>
    </row>
    <row r="46" spans="1:8" x14ac:dyDescent="0.2">
      <c r="C46" s="5" t="s">
        <v>175</v>
      </c>
      <c r="D46" s="5">
        <f>F41</f>
        <v>2152398.7950349753</v>
      </c>
    </row>
    <row r="47" spans="1:8" x14ac:dyDescent="0.2">
      <c r="B47" s="5" t="s">
        <v>28</v>
      </c>
      <c r="C47" s="5" t="s">
        <v>176</v>
      </c>
      <c r="D47" s="5">
        <v>0</v>
      </c>
    </row>
    <row r="48" spans="1:8" x14ac:dyDescent="0.2">
      <c r="C48" s="46" t="s">
        <v>177</v>
      </c>
      <c r="D48" s="5">
        <f>D46-D47</f>
        <v>2152398.7950349753</v>
      </c>
    </row>
    <row r="49" spans="2:7" x14ac:dyDescent="0.2">
      <c r="B49" s="5" t="s">
        <v>178</v>
      </c>
      <c r="C49" s="5" t="s">
        <v>179</v>
      </c>
      <c r="D49" s="11">
        <f>'Shareholders Equity'!F47/1000</f>
        <v>90445.207999999999</v>
      </c>
    </row>
    <row r="51" spans="2:7" x14ac:dyDescent="0.2">
      <c r="F51" s="46" t="s">
        <v>181</v>
      </c>
      <c r="G51" s="47">
        <f>E52*(1.1)</f>
        <v>26.177602184722414</v>
      </c>
    </row>
    <row r="52" spans="2:7" x14ac:dyDescent="0.2">
      <c r="C52" s="46" t="s">
        <v>180</v>
      </c>
      <c r="E52" s="47">
        <f>D48/D49</f>
        <v>23.797820167929466</v>
      </c>
    </row>
    <row r="53" spans="2:7" x14ac:dyDescent="0.2">
      <c r="F53" s="46" t="s">
        <v>182</v>
      </c>
      <c r="G53" s="47">
        <f>E52*0.9</f>
        <v>21.418038151136521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C1"/>
    </sheetView>
  </sheetViews>
  <sheetFormatPr defaultRowHeight="12.75" outlineLevelRow="1" x14ac:dyDescent="0.2"/>
  <cols>
    <col min="1" max="3" width="9.140625" style="5" customWidth="1"/>
    <col min="4" max="4" width="11.140625" style="5" customWidth="1"/>
    <col min="5" max="10" width="11.28515625" style="5" bestFit="1" customWidth="1"/>
    <col min="11" max="14" width="9.140625" style="55" customWidth="1"/>
    <col min="15" max="15" width="10.28515625" style="55" bestFit="1" customWidth="1"/>
    <col min="16" max="16384" width="9.140625" style="5"/>
  </cols>
  <sheetData>
    <row r="1" spans="1:15" x14ac:dyDescent="0.2">
      <c r="A1" s="5" t="s">
        <v>241</v>
      </c>
    </row>
    <row r="2" spans="1:15" s="1" customFormat="1" ht="18" x14ac:dyDescent="0.25">
      <c r="A2" s="1" t="s">
        <v>116</v>
      </c>
      <c r="K2" s="53" t="s">
        <v>209</v>
      </c>
      <c r="L2" s="53"/>
      <c r="M2" s="53"/>
      <c r="N2" s="53"/>
      <c r="O2" s="53"/>
    </row>
    <row r="4" spans="1:15" s="2" customFormat="1" x14ac:dyDescent="0.2">
      <c r="E4" s="2" t="s">
        <v>70</v>
      </c>
      <c r="F4" s="2" t="s">
        <v>68</v>
      </c>
      <c r="G4" s="2" t="s">
        <v>65</v>
      </c>
      <c r="H4" s="2" t="s">
        <v>63</v>
      </c>
      <c r="I4" s="2" t="s">
        <v>3</v>
      </c>
      <c r="J4" s="2" t="s">
        <v>2</v>
      </c>
      <c r="K4" s="54" t="s">
        <v>129</v>
      </c>
      <c r="L4" s="54" t="s">
        <v>130</v>
      </c>
      <c r="M4" s="54" t="s">
        <v>131</v>
      </c>
      <c r="N4" s="54" t="s">
        <v>132</v>
      </c>
      <c r="O4" s="54" t="s">
        <v>144</v>
      </c>
    </row>
    <row r="5" spans="1:15" s="2" customFormat="1" outlineLevel="1" x14ac:dyDescent="0.2">
      <c r="K5" s="54"/>
      <c r="L5" s="54"/>
      <c r="M5" s="54"/>
      <c r="N5" s="54"/>
      <c r="O5" s="54"/>
    </row>
    <row r="6" spans="1:15" outlineLevel="1" x14ac:dyDescent="0.2">
      <c r="B6" s="5" t="s">
        <v>4</v>
      </c>
      <c r="E6" s="5">
        <f>'Balance Sheet'!G30</f>
        <v>107863</v>
      </c>
      <c r="F6" s="5">
        <f>'Balance Sheet'!H30</f>
        <v>225992</v>
      </c>
      <c r="G6" s="5">
        <f>'Balance Sheet'!I30</f>
        <v>221088</v>
      </c>
      <c r="H6" s="5">
        <f>'Balance Sheet'!J30</f>
        <v>293111</v>
      </c>
      <c r="I6" s="5">
        <f>'Balance Sheet'!K30</f>
        <v>373807</v>
      </c>
      <c r="J6" s="5">
        <f>'Balance Sheet'!L30</f>
        <v>411350</v>
      </c>
      <c r="K6" s="55">
        <f>'Balance Sheet'!M31</f>
        <v>537179.02259999979</v>
      </c>
      <c r="L6" s="55">
        <f>'Balance Sheet'!N31</f>
        <v>656274.61635000003</v>
      </c>
      <c r="M6" s="55">
        <f>'Balance Sheet'!O31</f>
        <v>787263.93260557228</v>
      </c>
      <c r="N6" s="55">
        <f>'Balance Sheet'!P31</f>
        <v>927161.0384518702</v>
      </c>
      <c r="O6" s="55">
        <f>'Balance Sheet'!Q31</f>
        <v>1133834.2760170847</v>
      </c>
    </row>
    <row r="7" spans="1:15" outlineLevel="1" x14ac:dyDescent="0.2">
      <c r="B7" s="5" t="s">
        <v>117</v>
      </c>
      <c r="E7" s="5">
        <f>'Balance Sheet'!G85</f>
        <v>44090</v>
      </c>
      <c r="F7" s="5">
        <f>'Balance Sheet'!H85</f>
        <v>47047</v>
      </c>
      <c r="G7" s="5">
        <f>'Balance Sheet'!I85</f>
        <v>54182</v>
      </c>
      <c r="H7" s="5">
        <f>'Balance Sheet'!J85</f>
        <v>63223</v>
      </c>
      <c r="I7" s="5">
        <f>'Balance Sheet'!K85</f>
        <v>80111</v>
      </c>
      <c r="J7" s="5">
        <f>'Balance Sheet'!L85</f>
        <v>83333</v>
      </c>
      <c r="K7" s="55">
        <f>'Balance Sheet'!M85</f>
        <v>106648.71352800001</v>
      </c>
      <c r="L7" s="55">
        <f>'Balance Sheet'!N85</f>
        <v>122646.02055719998</v>
      </c>
      <c r="M7" s="55">
        <f>'Balance Sheet'!O85</f>
        <v>145817.17565547599</v>
      </c>
      <c r="N7" s="55">
        <f>'Balance Sheet'!P85</f>
        <v>174358.45977958976</v>
      </c>
      <c r="O7" s="55">
        <f>'Balance Sheet'!Q85</f>
        <v>213263.59511815125</v>
      </c>
    </row>
    <row r="8" spans="1:15" outlineLevel="1" x14ac:dyDescent="0.2"/>
    <row r="9" spans="1:15" outlineLevel="1" x14ac:dyDescent="0.2">
      <c r="B9" s="5" t="s">
        <v>118</v>
      </c>
      <c r="E9" s="5">
        <f t="shared" ref="E9:O9" si="0">E6-E7</f>
        <v>63773</v>
      </c>
      <c r="F9" s="5">
        <f t="shared" si="0"/>
        <v>178945</v>
      </c>
      <c r="G9" s="5">
        <f t="shared" si="0"/>
        <v>166906</v>
      </c>
      <c r="H9" s="5">
        <f t="shared" si="0"/>
        <v>229888</v>
      </c>
      <c r="I9" s="5">
        <f t="shared" si="0"/>
        <v>293696</v>
      </c>
      <c r="J9" s="5">
        <f t="shared" si="0"/>
        <v>328017</v>
      </c>
      <c r="K9" s="55">
        <f t="shared" si="0"/>
        <v>430530.3090719998</v>
      </c>
      <c r="L9" s="55">
        <f t="shared" si="0"/>
        <v>533628.59579280007</v>
      </c>
      <c r="M9" s="55">
        <f t="shared" si="0"/>
        <v>641446.75695009623</v>
      </c>
      <c r="N9" s="55">
        <f t="shared" si="0"/>
        <v>752802.57867228042</v>
      </c>
      <c r="O9" s="55">
        <f t="shared" si="0"/>
        <v>920570.68089893344</v>
      </c>
    </row>
    <row r="10" spans="1:15" outlineLevel="1" x14ac:dyDescent="0.2">
      <c r="C10" s="5" t="s">
        <v>119</v>
      </c>
      <c r="F10" s="5">
        <f t="shared" ref="F10:O10" si="1">F9-E9</f>
        <v>115172</v>
      </c>
      <c r="G10" s="5">
        <f t="shared" si="1"/>
        <v>-12039</v>
      </c>
      <c r="H10" s="5">
        <f t="shared" si="1"/>
        <v>62982</v>
      </c>
      <c r="I10" s="5">
        <f t="shared" si="1"/>
        <v>63808</v>
      </c>
      <c r="J10" s="5">
        <f t="shared" si="1"/>
        <v>34321</v>
      </c>
      <c r="K10" s="55">
        <f t="shared" si="1"/>
        <v>102513.3090719998</v>
      </c>
      <c r="L10" s="55">
        <f t="shared" si="1"/>
        <v>103098.28672080027</v>
      </c>
      <c r="M10" s="55">
        <f t="shared" si="1"/>
        <v>107818.16115729616</v>
      </c>
      <c r="N10" s="55">
        <f t="shared" si="1"/>
        <v>111355.82172218419</v>
      </c>
      <c r="O10" s="55">
        <f t="shared" si="1"/>
        <v>167768.10222665302</v>
      </c>
    </row>
    <row r="11" spans="1:15" outlineLevel="1" x14ac:dyDescent="0.2"/>
    <row r="12" spans="1:15" outlineLevel="1" x14ac:dyDescent="0.2"/>
    <row r="13" spans="1:15" outlineLevel="1" x14ac:dyDescent="0.2"/>
    <row r="16" spans="1:15" x14ac:dyDescent="0.2">
      <c r="B16" s="5" t="s">
        <v>202</v>
      </c>
      <c r="G16" s="36"/>
      <c r="I16" s="36"/>
      <c r="K16" s="69"/>
    </row>
    <row r="17" spans="2:15" x14ac:dyDescent="0.2">
      <c r="C17" s="5" t="str">
        <f>'Balance Sheet'!B11</f>
        <v>Accounts receivable, net</v>
      </c>
      <c r="E17" s="5">
        <f>'Balance Sheet'!G11</f>
        <v>64907</v>
      </c>
      <c r="F17" s="5">
        <f>'Balance Sheet'!H11</f>
        <v>64072</v>
      </c>
      <c r="G17" s="5">
        <f>'Balance Sheet'!I11</f>
        <v>71553</v>
      </c>
      <c r="H17" s="5">
        <f>'Balance Sheet'!J11</f>
        <v>81633</v>
      </c>
      <c r="I17" s="5">
        <f>'Balance Sheet'!K11</f>
        <v>89002</v>
      </c>
      <c r="J17" s="5">
        <f>'Balance Sheet'!L11</f>
        <v>99959</v>
      </c>
      <c r="K17" s="55">
        <f>'Balance Sheet'!M11</f>
        <v>120514.18799999999</v>
      </c>
      <c r="L17" s="55">
        <f>'Balance Sheet'!N11</f>
        <v>138591.31619999997</v>
      </c>
      <c r="M17" s="55">
        <f>'Balance Sheet'!O11</f>
        <v>162151.83995399997</v>
      </c>
      <c r="N17" s="55">
        <f>'Balance Sheet'!P11</f>
        <v>199446.76314341996</v>
      </c>
      <c r="O17" s="55">
        <f>'Balance Sheet'!Q11</f>
        <v>231358.24524636712</v>
      </c>
    </row>
    <row r="18" spans="2:15" x14ac:dyDescent="0.2">
      <c r="C18" s="5" t="str">
        <f>'Balance Sheet'!B23</f>
        <v>Vehicle pooling costs</v>
      </c>
      <c r="E18" s="5">
        <f>'Balance Sheet'!G23</f>
        <v>19845</v>
      </c>
      <c r="F18" s="5">
        <f>'Balance Sheet'!H23</f>
        <v>20014</v>
      </c>
      <c r="G18" s="5">
        <f>'Balance Sheet'!I23</f>
        <v>23380</v>
      </c>
      <c r="H18" s="5">
        <f>'Balance Sheet'!J23</f>
        <v>23966</v>
      </c>
      <c r="I18" s="5">
        <f>'Balance Sheet'!K23</f>
        <v>25983</v>
      </c>
      <c r="J18" s="5">
        <f>'Balance Sheet'!L23</f>
        <v>29148</v>
      </c>
      <c r="K18" s="55">
        <f>'Balance Sheet'!M23</f>
        <v>38057.111999999994</v>
      </c>
      <c r="L18" s="55">
        <f>'Balance Sheet'!N23</f>
        <v>43765.678799999987</v>
      </c>
      <c r="M18" s="55">
        <f>'Balance Sheet'!O23</f>
        <v>51205.844195999991</v>
      </c>
      <c r="N18" s="55">
        <f>'Balance Sheet'!P23</f>
        <v>68231.787391169986</v>
      </c>
      <c r="O18" s="55">
        <f>'Balance Sheet'!Q23</f>
        <v>79148.873373757175</v>
      </c>
    </row>
    <row r="19" spans="2:15" x14ac:dyDescent="0.2">
      <c r="C19" s="5" t="str">
        <f>'Balance Sheet'!B26</f>
        <v>Prepaid expenses</v>
      </c>
      <c r="E19" s="5">
        <f>'Balance Sheet'!G26</f>
        <v>7866</v>
      </c>
      <c r="F19" s="5">
        <f>'Balance Sheet'!H26</f>
        <v>9216</v>
      </c>
      <c r="G19" s="5">
        <f>'Balance Sheet'!I26</f>
        <v>5391</v>
      </c>
      <c r="H19" s="5">
        <f>'Balance Sheet'!J26</f>
        <v>5437</v>
      </c>
      <c r="I19" s="5">
        <f>'Balance Sheet'!K26</f>
        <v>6274</v>
      </c>
      <c r="J19" s="5">
        <f>'Balance Sheet'!L26</f>
        <v>4864</v>
      </c>
      <c r="K19" s="55">
        <f>'Balance Sheet'!M26</f>
        <v>8372.5646399999987</v>
      </c>
      <c r="L19" s="55">
        <f>'Balance Sheet'!N26</f>
        <v>9628.4493359999997</v>
      </c>
      <c r="M19" s="55">
        <f>'Balance Sheet'!O26</f>
        <v>11435.971870439998</v>
      </c>
      <c r="N19" s="55">
        <f>'Balance Sheet'!P26</f>
        <v>13856.301439437599</v>
      </c>
      <c r="O19" s="55">
        <f>'Balance Sheet'!Q26</f>
        <v>16073.309669747612</v>
      </c>
    </row>
    <row r="20" spans="2:15" x14ac:dyDescent="0.2">
      <c r="B20" s="5" t="s">
        <v>203</v>
      </c>
      <c r="E20" s="5">
        <f t="shared" ref="E20:O20" si="2">SUM(E17:E19)</f>
        <v>92618</v>
      </c>
      <c r="F20" s="5">
        <f t="shared" si="2"/>
        <v>93302</v>
      </c>
      <c r="G20" s="5">
        <f t="shared" si="2"/>
        <v>100324</v>
      </c>
      <c r="H20" s="5">
        <f t="shared" si="2"/>
        <v>111036</v>
      </c>
      <c r="I20" s="5">
        <f t="shared" si="2"/>
        <v>121259</v>
      </c>
      <c r="J20" s="5">
        <f t="shared" si="2"/>
        <v>133971</v>
      </c>
      <c r="K20" s="55">
        <f t="shared" si="2"/>
        <v>166943.86463999999</v>
      </c>
      <c r="L20" s="55">
        <f t="shared" si="2"/>
        <v>191985.44433599996</v>
      </c>
      <c r="M20" s="55">
        <f t="shared" si="2"/>
        <v>224793.65602043996</v>
      </c>
      <c r="N20" s="55">
        <f t="shared" si="2"/>
        <v>281534.85197402752</v>
      </c>
      <c r="O20" s="55">
        <f t="shared" si="2"/>
        <v>326580.4282898719</v>
      </c>
    </row>
    <row r="21" spans="2:15" x14ac:dyDescent="0.2">
      <c r="B21" s="5" t="s">
        <v>204</v>
      </c>
      <c r="H21" s="36"/>
      <c r="K21" s="69"/>
    </row>
    <row r="22" spans="2:15" x14ac:dyDescent="0.2">
      <c r="C22" s="5" t="str">
        <f>'Balance Sheet'!B68</f>
        <v>Accounts payable and accrued liabilities</v>
      </c>
      <c r="E22" s="5">
        <f>'Balance Sheet'!G68</f>
        <v>26769</v>
      </c>
      <c r="F22" s="5">
        <f>'Balance Sheet'!H68</f>
        <v>31892</v>
      </c>
      <c r="G22" s="5">
        <f>'Balance Sheet'!I68</f>
        <v>38308</v>
      </c>
      <c r="H22" s="5">
        <f>'Balance Sheet'!J68</f>
        <v>44080</v>
      </c>
      <c r="I22" s="5">
        <f>'Balance Sheet'!K68</f>
        <v>56965</v>
      </c>
      <c r="J22" s="5">
        <f>'Balance Sheet'!L68</f>
        <v>60644</v>
      </c>
      <c r="K22" s="55">
        <f>'Balance Sheet'!M68</f>
        <v>72942.797999999995</v>
      </c>
      <c r="L22" s="55">
        <f>'Balance Sheet'!N68</f>
        <v>83884.217699999994</v>
      </c>
      <c r="M22" s="55">
        <f>'Balance Sheet'!O68</f>
        <v>98144.534708999985</v>
      </c>
      <c r="N22" s="55">
        <f>'Balance Sheet'!P68</f>
        <v>125966.37672215997</v>
      </c>
      <c r="O22" s="55">
        <f>'Balance Sheet'!Q68</f>
        <v>146120.99699770554</v>
      </c>
    </row>
    <row r="23" spans="2:15" x14ac:dyDescent="0.2">
      <c r="C23" s="5" t="str">
        <f>'Balance Sheet'!B77</f>
        <v>Deferred revenue</v>
      </c>
      <c r="E23" s="5">
        <f>'Balance Sheet'!G77</f>
        <v>8863</v>
      </c>
      <c r="F23" s="5">
        <f>'Balance Sheet'!H77</f>
        <v>8352</v>
      </c>
      <c r="G23" s="5">
        <f>'Balance Sheet'!I77</f>
        <v>9708</v>
      </c>
      <c r="H23" s="5">
        <f>'Balance Sheet'!J77</f>
        <v>9721</v>
      </c>
      <c r="I23" s="5">
        <f>'Balance Sheet'!K77</f>
        <v>12477</v>
      </c>
      <c r="J23" s="5">
        <f>'Balance Sheet'!L77</f>
        <v>15372</v>
      </c>
      <c r="K23" s="55">
        <f>'Balance Sheet'!M77</f>
        <v>17759.9856</v>
      </c>
      <c r="L23" s="55">
        <f>'Balance Sheet'!N77</f>
        <v>20423.983439999996</v>
      </c>
      <c r="M23" s="55">
        <f>'Balance Sheet'!O77</f>
        <v>23896.060624799997</v>
      </c>
      <c r="N23" s="55">
        <f>'Balance Sheet'!P77</f>
        <v>29392.154568503993</v>
      </c>
      <c r="O23" s="55">
        <f>'Balance Sheet'!Q77</f>
        <v>36530.249249426386</v>
      </c>
    </row>
    <row r="24" spans="2:15" x14ac:dyDescent="0.2">
      <c r="C24" s="5" t="str">
        <f>'Balance Sheet'!B83</f>
        <v>Other current liabilities</v>
      </c>
      <c r="E24" s="5">
        <f>'Balance Sheet'!G83</f>
        <v>197</v>
      </c>
      <c r="F24" s="5">
        <f>'Balance Sheet'!H83</f>
        <v>198</v>
      </c>
      <c r="G24" s="5">
        <f>'Balance Sheet'!I83</f>
        <v>173</v>
      </c>
      <c r="H24" s="5">
        <f>'Balance Sheet'!J83</f>
        <v>165</v>
      </c>
      <c r="I24" s="5">
        <f>'Balance Sheet'!K83</f>
        <v>126</v>
      </c>
      <c r="J24" s="5">
        <f>'Balance Sheet'!L83</f>
        <v>126</v>
      </c>
      <c r="K24" s="55">
        <f>'Balance Sheet'!M83</f>
        <v>317.14259999999996</v>
      </c>
      <c r="L24" s="55">
        <f>'Balance Sheet'!N83</f>
        <v>364.71398999999997</v>
      </c>
      <c r="M24" s="55">
        <f>'Balance Sheet'!O83</f>
        <v>426.71536829999991</v>
      </c>
      <c r="N24" s="55">
        <f>'Balance Sheet'!P83</f>
        <v>524.85990300899994</v>
      </c>
      <c r="O24" s="55">
        <f>'Balance Sheet'!Q83</f>
        <v>608.8374874904398</v>
      </c>
    </row>
    <row r="25" spans="2:15" x14ac:dyDescent="0.2">
      <c r="B25" s="5" t="s">
        <v>21</v>
      </c>
      <c r="E25" s="5">
        <f t="shared" ref="E25:O25" si="3">SUM(E22:E24)</f>
        <v>35829</v>
      </c>
      <c r="F25" s="5">
        <f t="shared" si="3"/>
        <v>40442</v>
      </c>
      <c r="G25" s="5">
        <f t="shared" si="3"/>
        <v>48189</v>
      </c>
      <c r="H25" s="5">
        <f t="shared" si="3"/>
        <v>53966</v>
      </c>
      <c r="I25" s="5">
        <f t="shared" si="3"/>
        <v>69568</v>
      </c>
      <c r="J25" s="5">
        <f t="shared" si="3"/>
        <v>76142</v>
      </c>
      <c r="K25" s="55">
        <f t="shared" si="3"/>
        <v>91019.926200000002</v>
      </c>
      <c r="L25" s="55">
        <f t="shared" si="3"/>
        <v>104672.91512999999</v>
      </c>
      <c r="M25" s="55">
        <f t="shared" si="3"/>
        <v>122467.31070209999</v>
      </c>
      <c r="N25" s="55">
        <f t="shared" si="3"/>
        <v>155883.39119367296</v>
      </c>
      <c r="O25" s="55">
        <f t="shared" si="3"/>
        <v>183260.08373462237</v>
      </c>
    </row>
    <row r="26" spans="2:15" x14ac:dyDescent="0.2">
      <c r="B26" s="5" t="s">
        <v>118</v>
      </c>
      <c r="E26" s="5">
        <f t="shared" ref="E26:O26" si="4">E20-E25</f>
        <v>56789</v>
      </c>
      <c r="F26" s="5">
        <f t="shared" si="4"/>
        <v>52860</v>
      </c>
      <c r="G26" s="5">
        <f t="shared" si="4"/>
        <v>52135</v>
      </c>
      <c r="H26" s="5">
        <f t="shared" si="4"/>
        <v>57070</v>
      </c>
      <c r="I26" s="5">
        <f t="shared" si="4"/>
        <v>51691</v>
      </c>
      <c r="J26" s="5">
        <f t="shared" si="4"/>
        <v>57829</v>
      </c>
      <c r="K26" s="55">
        <f t="shared" si="4"/>
        <v>75923.938439999984</v>
      </c>
      <c r="L26" s="55">
        <f t="shared" si="4"/>
        <v>87312.529205999963</v>
      </c>
      <c r="M26" s="55">
        <f t="shared" si="4"/>
        <v>102326.34531833997</v>
      </c>
      <c r="N26" s="55">
        <f t="shared" si="4"/>
        <v>125651.46078035457</v>
      </c>
      <c r="O26" s="55">
        <f t="shared" si="4"/>
        <v>143320.34455524953</v>
      </c>
    </row>
    <row r="28" spans="2:15" x14ac:dyDescent="0.2">
      <c r="C28" s="5" t="s">
        <v>119</v>
      </c>
      <c r="F28" s="5">
        <f>F26-E26</f>
        <v>-3929</v>
      </c>
      <c r="G28" s="5">
        <f t="shared" ref="G28:N28" si="5">G26-F26</f>
        <v>-725</v>
      </c>
      <c r="H28" s="5">
        <f t="shared" si="5"/>
        <v>4935</v>
      </c>
      <c r="I28" s="5">
        <f t="shared" si="5"/>
        <v>-5379</v>
      </c>
      <c r="J28" s="5">
        <f t="shared" si="5"/>
        <v>6138</v>
      </c>
      <c r="K28" s="55">
        <f t="shared" si="5"/>
        <v>18094.938439999984</v>
      </c>
      <c r="L28" s="55">
        <f t="shared" si="5"/>
        <v>11388.590765999979</v>
      </c>
      <c r="M28" s="55">
        <f t="shared" si="5"/>
        <v>15013.816112340006</v>
      </c>
      <c r="N28" s="55">
        <f t="shared" si="5"/>
        <v>23325.115462014597</v>
      </c>
      <c r="O28" s="55">
        <f>O26-N26</f>
        <v>17668.883774894959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pane xSplit="2" ySplit="7" topLeftCell="E8" activePane="bottomRight" state="frozen"/>
      <selection pane="topRight" activeCell="C1" sqref="C1"/>
      <selection pane="bottomLeft" activeCell="A8" sqref="A8"/>
      <selection pane="bottomRight" sqref="A1:C1"/>
    </sheetView>
  </sheetViews>
  <sheetFormatPr defaultRowHeight="12.75" x14ac:dyDescent="0.2"/>
  <cols>
    <col min="2" max="2" width="33.140625" customWidth="1"/>
    <col min="3" max="3" width="9.7109375" customWidth="1"/>
    <col min="9" max="9" width="9.28515625" style="71" bestFit="1" customWidth="1"/>
    <col min="10" max="13" width="9.140625" style="71" customWidth="1"/>
  </cols>
  <sheetData>
    <row r="1" spans="1:13" x14ac:dyDescent="0.2">
      <c r="A1" t="s">
        <v>241</v>
      </c>
    </row>
    <row r="2" spans="1:13" s="33" customFormat="1" ht="18" x14ac:dyDescent="0.25">
      <c r="A2" s="33" t="s">
        <v>127</v>
      </c>
      <c r="I2" s="70"/>
      <c r="J2" s="70"/>
      <c r="K2" s="70"/>
      <c r="L2" s="70"/>
      <c r="M2" s="70"/>
    </row>
    <row r="4" spans="1:13" s="34" customFormat="1" x14ac:dyDescent="0.2">
      <c r="C4" s="34" t="s">
        <v>70</v>
      </c>
      <c r="D4" s="34" t="s">
        <v>68</v>
      </c>
      <c r="E4" s="34" t="s">
        <v>65</v>
      </c>
      <c r="F4" s="34" t="s">
        <v>63</v>
      </c>
      <c r="G4" s="34" t="s">
        <v>3</v>
      </c>
      <c r="H4" s="34" t="s">
        <v>2</v>
      </c>
      <c r="I4" s="72" t="s">
        <v>129</v>
      </c>
      <c r="J4" s="72" t="s">
        <v>130</v>
      </c>
      <c r="K4" s="72" t="s">
        <v>131</v>
      </c>
      <c r="L4" s="72" t="s">
        <v>132</v>
      </c>
      <c r="M4" s="72" t="s">
        <v>144</v>
      </c>
    </row>
    <row r="5" spans="1:13" x14ac:dyDescent="0.2">
      <c r="A5" s="34" t="s">
        <v>77</v>
      </c>
    </row>
    <row r="6" spans="1:13" x14ac:dyDescent="0.2">
      <c r="A6" s="34"/>
    </row>
    <row r="7" spans="1:13" x14ac:dyDescent="0.2">
      <c r="A7" s="34" t="s">
        <v>128</v>
      </c>
      <c r="D7" s="35">
        <f>'Income Statement'!E8</f>
        <v>0.24643446545537606</v>
      </c>
      <c r="E7" s="35">
        <f>'Income Statement'!F8</f>
        <v>9.7855626058598988E-2</v>
      </c>
      <c r="F7" s="35">
        <f>'Income Statement'!G8</f>
        <v>0.12546952849984017</v>
      </c>
      <c r="G7" s="35">
        <f>'Income Statement'!H8</f>
        <v>0.14505107234012082</v>
      </c>
      <c r="H7" s="35">
        <f>'Income Statement'!I8</f>
        <v>0.18055484208151773</v>
      </c>
      <c r="I7" s="73">
        <v>0.2</v>
      </c>
      <c r="J7" s="73">
        <v>0.15</v>
      </c>
      <c r="K7" s="73">
        <v>0.17</v>
      </c>
      <c r="L7" s="73">
        <v>0.23</v>
      </c>
      <c r="M7" s="73">
        <v>0.16</v>
      </c>
    </row>
    <row r="9" spans="1:13" x14ac:dyDescent="0.2">
      <c r="A9" t="s">
        <v>133</v>
      </c>
    </row>
    <row r="10" spans="1:13" x14ac:dyDescent="0.2">
      <c r="B10" t="s">
        <v>184</v>
      </c>
      <c r="C10" s="35">
        <f>'Income Statement'!D12</f>
        <v>0.5988955803520436</v>
      </c>
      <c r="D10" s="35">
        <f>'Income Statement'!E12</f>
        <v>0.59076775286295724</v>
      </c>
      <c r="E10" s="35">
        <f>'Income Statement'!F12</f>
        <v>0.64590715064920856</v>
      </c>
      <c r="F10" s="35">
        <f>'Income Statement'!G12</f>
        <v>0.58214028142214858</v>
      </c>
      <c r="G10" s="35">
        <f>'Income Statement'!H12</f>
        <v>0.54869106673426682</v>
      </c>
      <c r="H10" s="35">
        <f>'Income Statement'!I12</f>
        <v>0.56382775445493605</v>
      </c>
      <c r="I10" s="78">
        <v>0.55000000000000004</v>
      </c>
      <c r="J10" s="78">
        <v>0.56000000000000005</v>
      </c>
      <c r="K10" s="69">
        <v>0.56000000000000005</v>
      </c>
      <c r="L10" s="78">
        <v>0.56000000000000005</v>
      </c>
      <c r="M10" s="78">
        <v>0.56000000000000005</v>
      </c>
    </row>
    <row r="11" spans="1:13" x14ac:dyDescent="0.2">
      <c r="B11" t="s">
        <v>185</v>
      </c>
      <c r="C11" s="35">
        <f>'Income Statement'!D14</f>
        <v>7.6289244512365642E-2</v>
      </c>
      <c r="D11" s="35">
        <f>'Income Statement'!E14</f>
        <v>7.3488889450666131E-2</v>
      </c>
      <c r="E11" s="35">
        <f>'Income Statement'!F14</f>
        <v>8.2616867622465992E-2</v>
      </c>
      <c r="F11" s="35">
        <f>'Income Statement'!G14</f>
        <v>9.9556537617578905E-2</v>
      </c>
      <c r="G11" s="35">
        <f>'Income Statement'!H14</f>
        <v>0.10191163890818371</v>
      </c>
      <c r="H11" s="35">
        <f>'Income Statement'!I14</f>
        <v>0.1115952256177505</v>
      </c>
      <c r="I11" s="69">
        <v>0.11</v>
      </c>
      <c r="J11" s="69">
        <v>0.1</v>
      </c>
      <c r="K11" s="69">
        <v>0.1</v>
      </c>
      <c r="L11" s="69">
        <v>0.1</v>
      </c>
      <c r="M11" s="69">
        <v>0.1</v>
      </c>
    </row>
    <row r="13" spans="1:13" x14ac:dyDescent="0.2">
      <c r="B13" t="s">
        <v>183</v>
      </c>
      <c r="C13" s="36">
        <f>'Income Statement'!D17</f>
        <v>0</v>
      </c>
      <c r="D13" s="36">
        <f>'Income Statement'!E17</f>
        <v>0.22626033997969919</v>
      </c>
      <c r="E13" s="36">
        <f>'Income Statement'!F17</f>
        <v>0.20407405997868788</v>
      </c>
      <c r="F13" s="36">
        <f>'Income Statement'!G17</f>
        <v>5.3127938492173232E-2</v>
      </c>
      <c r="G13" s="36">
        <f>'Income Statement'!H17</f>
        <v>9.2822065405379073E-2</v>
      </c>
      <c r="H13" s="36">
        <f>'Income Statement'!I17</f>
        <v>0.22559261230024541</v>
      </c>
      <c r="I13" s="69">
        <f>'Income Statement'!J17</f>
        <v>0.17259853953261661</v>
      </c>
      <c r="J13" s="69">
        <f>'Income Statement'!K17</f>
        <v>0.15000000000000013</v>
      </c>
      <c r="K13" s="69">
        <f>'Income Statement'!L17</f>
        <v>0.18772727272727252</v>
      </c>
      <c r="L13" s="69">
        <f>'Income Statement'!M17</f>
        <v>0.21164179104477632</v>
      </c>
      <c r="M13" s="69">
        <f>'Income Statement'!N17</f>
        <v>0.1599999999999997</v>
      </c>
    </row>
    <row r="14" spans="1:13" x14ac:dyDescent="0.2">
      <c r="C14" s="36"/>
      <c r="D14" s="36"/>
      <c r="E14" s="36"/>
      <c r="F14" s="36"/>
      <c r="G14" s="36"/>
      <c r="H14" s="36"/>
      <c r="I14" s="69"/>
      <c r="J14" s="69"/>
      <c r="K14" s="69"/>
      <c r="L14" s="69"/>
      <c r="M14" s="69"/>
    </row>
    <row r="15" spans="1:13" x14ac:dyDescent="0.2">
      <c r="A15" t="s">
        <v>186</v>
      </c>
      <c r="C15" s="35">
        <f>'Income Statement'!D23</f>
        <v>0.12478586397906033</v>
      </c>
      <c r="D15" s="35">
        <f>'Income Statement'!E23</f>
        <v>8.2460256462117229E-2</v>
      </c>
      <c r="E15" s="35">
        <f>'Income Statement'!F23</f>
        <v>0.10453795818481673</v>
      </c>
      <c r="F15" s="35">
        <f>'Income Statement'!G23</f>
        <v>0.11506712151730722</v>
      </c>
      <c r="G15" s="35">
        <f>'Income Statement'!H23</f>
        <v>0.10318014021065465</v>
      </c>
      <c r="H15" s="35">
        <f>'Income Statement'!I23</f>
        <v>9.1991940177164028E-2</v>
      </c>
      <c r="I15" s="69">
        <v>0.1</v>
      </c>
      <c r="J15" s="69">
        <v>0.1</v>
      </c>
      <c r="K15" s="69">
        <v>0.1</v>
      </c>
      <c r="L15" s="69">
        <v>0.1</v>
      </c>
      <c r="M15" s="69">
        <v>0.1</v>
      </c>
    </row>
    <row r="17" spans="1:14" x14ac:dyDescent="0.2">
      <c r="A17" t="s">
        <v>207</v>
      </c>
      <c r="C17" s="45">
        <f>'Income Statement'!D32</f>
        <v>1.1524721433382306E-2</v>
      </c>
      <c r="D17" s="45">
        <f>'Income Statement'!E32</f>
        <v>1.1748868721086029E-2</v>
      </c>
      <c r="E17" s="45">
        <f>'Income Statement'!F32</f>
        <v>9.823759509301342E-3</v>
      </c>
      <c r="F17" s="45">
        <f>'Income Statement'!G32</f>
        <v>1.3963694394574106E-2</v>
      </c>
      <c r="G17" s="45">
        <f>'Income Statement'!H32</f>
        <v>1.8222995503996819E-2</v>
      </c>
      <c r="H17" s="45">
        <f>'Income Statement'!I32</f>
        <v>5.6000045405442218E-3</v>
      </c>
      <c r="I17" s="74">
        <v>1.2E-2</v>
      </c>
      <c r="J17" s="74">
        <v>1.2E-2</v>
      </c>
      <c r="K17" s="74">
        <v>1.2E-2</v>
      </c>
      <c r="L17" s="74">
        <v>1.2E-2</v>
      </c>
      <c r="M17" s="74">
        <v>1.2E-2</v>
      </c>
    </row>
    <row r="19" spans="1:14" x14ac:dyDescent="0.2">
      <c r="B19" t="s">
        <v>145</v>
      </c>
      <c r="C19" s="35">
        <f>'Income Statement'!D36</f>
        <v>0.33208811026664947</v>
      </c>
      <c r="D19" s="35">
        <f>'Income Statement'!E36</f>
        <v>0.3298201262208319</v>
      </c>
      <c r="E19" s="35">
        <f>'Income Statement'!F36</f>
        <v>0.3780313107541185</v>
      </c>
      <c r="F19" s="35">
        <f>'Income Statement'!G36</f>
        <v>0.3919997536964771</v>
      </c>
      <c r="G19" s="35">
        <f>'Income Statement'!H36</f>
        <v>0.38137245967374467</v>
      </c>
      <c r="H19" s="35">
        <f>'Income Statement'!I36</f>
        <v>0.35446533961334387</v>
      </c>
      <c r="I19" s="69">
        <v>0.35</v>
      </c>
      <c r="J19" s="69">
        <v>0.35</v>
      </c>
      <c r="K19" s="69">
        <v>0.35</v>
      </c>
      <c r="L19" s="69">
        <v>0.35</v>
      </c>
      <c r="M19" s="69">
        <v>0.35</v>
      </c>
    </row>
    <row r="26" spans="1:14" x14ac:dyDescent="0.2">
      <c r="A26" s="34" t="s">
        <v>0</v>
      </c>
    </row>
    <row r="27" spans="1:14" x14ac:dyDescent="0.2">
      <c r="A27" s="34"/>
    </row>
    <row r="28" spans="1:14" x14ac:dyDescent="0.2">
      <c r="A28" s="34" t="s">
        <v>1</v>
      </c>
    </row>
    <row r="30" spans="1:14" x14ac:dyDescent="0.2">
      <c r="C30" s="35"/>
      <c r="D30" s="35"/>
      <c r="E30" s="35"/>
      <c r="F30" s="35"/>
      <c r="G30" s="35"/>
      <c r="H30" s="35"/>
    </row>
    <row r="31" spans="1:14" x14ac:dyDescent="0.2">
      <c r="A31" t="s">
        <v>150</v>
      </c>
      <c r="C31" s="35">
        <f>'Balance Sheet'!G10</f>
        <v>0</v>
      </c>
      <c r="D31" s="35">
        <f>'Balance Sheet'!H10</f>
        <v>0</v>
      </c>
      <c r="E31" s="35">
        <f>'Balance Sheet'!I10</f>
        <v>0</v>
      </c>
      <c r="F31" s="35">
        <f>'Balance Sheet'!J10</f>
        <v>0.44141641987243424</v>
      </c>
      <c r="G31" s="35">
        <f>'Balance Sheet'!K10</f>
        <v>0</v>
      </c>
      <c r="H31" s="35">
        <f>'Balance Sheet'!L10</f>
        <v>0.28137184976095925</v>
      </c>
      <c r="I31" s="69">
        <v>0.08</v>
      </c>
      <c r="J31" s="69">
        <v>0.08</v>
      </c>
      <c r="K31" s="69">
        <v>0.08</v>
      </c>
      <c r="L31" s="69">
        <v>0.08</v>
      </c>
      <c r="M31" s="69">
        <v>0.08</v>
      </c>
      <c r="N31" s="36"/>
    </row>
    <row r="32" spans="1:14" x14ac:dyDescent="0.2">
      <c r="C32" s="97"/>
      <c r="D32" s="97"/>
      <c r="E32" s="97"/>
      <c r="F32" s="97"/>
      <c r="G32" s="97"/>
      <c r="H32" s="97"/>
      <c r="I32" s="98"/>
      <c r="J32" s="98"/>
      <c r="K32" s="98"/>
      <c r="L32" s="98"/>
      <c r="M32" s="98"/>
      <c r="N32" s="97"/>
    </row>
    <row r="33" spans="1:14" x14ac:dyDescent="0.2">
      <c r="A33" t="s">
        <v>147</v>
      </c>
      <c r="C33" s="97">
        <f>'Balance Sheet'!G12</f>
        <v>0.2556510916187783</v>
      </c>
      <c r="D33" s="97">
        <f>'Balance Sheet'!H12</f>
        <v>0.20246732563136741</v>
      </c>
      <c r="E33" s="97">
        <f>'Balance Sheet'!I12</f>
        <v>0.20595354941958363</v>
      </c>
      <c r="F33" s="97">
        <f>'Balance Sheet'!J12</f>
        <v>0.20877257591799783</v>
      </c>
      <c r="G33" s="97">
        <f>'Balance Sheet'!K12</f>
        <v>0.19878453803734833</v>
      </c>
      <c r="H33" s="97">
        <f>'Balance Sheet'!L12</f>
        <v>0.18911177495549319</v>
      </c>
      <c r="I33" s="99">
        <v>0.19</v>
      </c>
      <c r="J33" s="99">
        <v>0.19</v>
      </c>
      <c r="K33" s="99">
        <v>0.19</v>
      </c>
      <c r="L33" s="99">
        <v>0.19</v>
      </c>
      <c r="M33" s="99">
        <v>0.19</v>
      </c>
      <c r="N33" s="97"/>
    </row>
    <row r="34" spans="1:14" x14ac:dyDescent="0.2">
      <c r="C34" s="97"/>
      <c r="D34" s="97"/>
      <c r="E34" s="97"/>
      <c r="F34" s="97"/>
      <c r="G34" s="97"/>
      <c r="H34" s="97"/>
      <c r="I34" s="99"/>
      <c r="J34" s="99"/>
      <c r="K34" s="99"/>
      <c r="L34" s="99"/>
      <c r="M34" s="99"/>
      <c r="N34" s="97"/>
    </row>
    <row r="35" spans="1:14" x14ac:dyDescent="0.2">
      <c r="A35" t="s">
        <v>148</v>
      </c>
      <c r="C35" s="97">
        <f>'Balance Sheet'!G24</f>
        <v>7.8164079578083343E-2</v>
      </c>
      <c r="D35" s="97">
        <f>'Balance Sheet'!H24</f>
        <v>6.3244179285587884E-2</v>
      </c>
      <c r="E35" s="97">
        <f>'Balance Sheet'!I24</f>
        <v>6.729548705756383E-2</v>
      </c>
      <c r="F35" s="97">
        <f>'Balance Sheet'!J24</f>
        <v>6.1291923051348542E-2</v>
      </c>
      <c r="G35" s="97">
        <f>'Balance Sheet'!K24</f>
        <v>5.803261333255906E-2</v>
      </c>
      <c r="H35" s="97">
        <f>'Balance Sheet'!L24</f>
        <v>5.5144909576953713E-2</v>
      </c>
      <c r="I35" s="99">
        <v>0.06</v>
      </c>
      <c r="J35" s="99">
        <v>0.06</v>
      </c>
      <c r="K35" s="99">
        <v>0.06</v>
      </c>
      <c r="L35" s="99">
        <v>6.5000000000000002E-2</v>
      </c>
      <c r="M35" s="99">
        <v>6.5000000000000002E-2</v>
      </c>
      <c r="N35" s="97"/>
    </row>
    <row r="36" spans="1:14" x14ac:dyDescent="0.2">
      <c r="C36" s="97"/>
      <c r="D36" s="97"/>
      <c r="E36" s="97"/>
      <c r="F36" s="97"/>
      <c r="G36" s="97"/>
      <c r="H36" s="97"/>
      <c r="I36" s="99"/>
      <c r="J36" s="99"/>
      <c r="K36" s="99"/>
      <c r="L36" s="99"/>
      <c r="M36" s="99"/>
      <c r="N36" s="97"/>
    </row>
    <row r="37" spans="1:14" x14ac:dyDescent="0.2">
      <c r="A37" t="s">
        <v>149</v>
      </c>
      <c r="C37" s="97">
        <f>'Balance Sheet'!G27</f>
        <v>4.5886758992428042E-2</v>
      </c>
      <c r="D37" s="97">
        <f>'Balance Sheet'!H27</f>
        <v>4.3842289541787184E-2</v>
      </c>
      <c r="E37" s="97">
        <f>'Balance Sheet'!I27</f>
        <v>2.1299376545795043E-2</v>
      </c>
      <c r="F37" s="97">
        <f>'Balance Sheet'!J27</f>
        <v>2.0397444410680053E-2</v>
      </c>
      <c r="G37" s="97">
        <f>'Balance Sheet'!K27</f>
        <v>2.1538303094800804E-2</v>
      </c>
      <c r="H37" s="97">
        <f>'Balance Sheet'!L27</f>
        <v>1.3624306390034984E-2</v>
      </c>
      <c r="I37" s="98">
        <v>0.02</v>
      </c>
      <c r="J37" s="98">
        <v>0.02</v>
      </c>
      <c r="K37" s="98">
        <v>0.02</v>
      </c>
      <c r="L37" s="98">
        <v>0.02</v>
      </c>
      <c r="M37" s="98">
        <v>0.02</v>
      </c>
      <c r="N37" s="97"/>
    </row>
    <row r="38" spans="1:14" x14ac:dyDescent="0.2">
      <c r="C38" s="97"/>
      <c r="D38" s="97"/>
      <c r="E38" s="97"/>
      <c r="F38" s="97"/>
      <c r="G38" s="97"/>
      <c r="H38" s="97"/>
      <c r="I38" s="98"/>
      <c r="J38" s="98"/>
      <c r="K38" s="98"/>
      <c r="L38" s="98"/>
      <c r="M38" s="98"/>
      <c r="N38" s="97"/>
    </row>
    <row r="39" spans="1:14" x14ac:dyDescent="0.2">
      <c r="A39" t="s">
        <v>151</v>
      </c>
      <c r="C39" s="43">
        <f>'Balance Sheet'!G35</f>
        <v>0</v>
      </c>
      <c r="D39" s="43">
        <f>'Balance Sheet'!H35</f>
        <v>0.71976660260702463</v>
      </c>
      <c r="E39" s="43">
        <f>'Balance Sheet'!I35</f>
        <v>0.2355942316249342</v>
      </c>
      <c r="F39" s="43">
        <f>'Balance Sheet'!J35</f>
        <v>5.4452224372956382E-2</v>
      </c>
      <c r="G39" s="43">
        <f>'Balance Sheet'!K35</f>
        <v>0.14593642181575439</v>
      </c>
      <c r="H39" s="43">
        <f>'Balance Sheet'!L35</f>
        <v>0.15806888610424363</v>
      </c>
      <c r="I39" s="99">
        <v>0.16</v>
      </c>
      <c r="J39" s="99">
        <v>0.16</v>
      </c>
      <c r="K39" s="99">
        <v>0.16</v>
      </c>
      <c r="L39" s="99">
        <v>0.16</v>
      </c>
      <c r="M39" s="99">
        <v>0.16</v>
      </c>
      <c r="N39" s="97"/>
    </row>
    <row r="40" spans="1:14" x14ac:dyDescent="0.2">
      <c r="A40" t="s">
        <v>206</v>
      </c>
      <c r="C40" s="97">
        <f>'Balance Sheet'!G34</f>
        <v>0.45294203372339881</v>
      </c>
      <c r="D40" s="97">
        <f>'Balance Sheet'!H34</f>
        <v>0.62494628005157116</v>
      </c>
      <c r="E40" s="97">
        <f>'Balance Sheet'!I34</f>
        <v>0.70335297317679024</v>
      </c>
      <c r="F40" s="97">
        <f>'Balance Sheet'!J34</f>
        <v>0.65897129003053601</v>
      </c>
      <c r="G40" s="97">
        <f>'Balance Sheet'!K34</f>
        <v>0.6594808043222381</v>
      </c>
      <c r="H40" s="97">
        <f>'Balance Sheet'!L34</f>
        <v>0.64691971371868684</v>
      </c>
      <c r="I40" s="99">
        <v>0.66</v>
      </c>
      <c r="J40" s="99">
        <v>0.66</v>
      </c>
      <c r="K40" s="99">
        <v>0.66</v>
      </c>
      <c r="L40" s="99">
        <v>0.66</v>
      </c>
      <c r="M40" s="99">
        <v>0.66</v>
      </c>
      <c r="N40" s="97"/>
    </row>
    <row r="41" spans="1:14" x14ac:dyDescent="0.2">
      <c r="A41" t="s">
        <v>152</v>
      </c>
      <c r="C41" s="97">
        <f>'Balance Sheet'!G53</f>
        <v>0</v>
      </c>
      <c r="D41" s="97">
        <f>'Balance Sheet'!H53</f>
        <v>0.24370113470206523</v>
      </c>
      <c r="E41" s="97">
        <f>'Balance Sheet'!I53</f>
        <v>6.0172949863972036E-2</v>
      </c>
      <c r="F41" s="97">
        <f>'Balance Sheet'!J53</f>
        <v>3.2791693015497669E-2</v>
      </c>
      <c r="G41" s="97">
        <f>'Balance Sheet'!K53</f>
        <v>3.2691164334330169E-2</v>
      </c>
      <c r="H41" s="97">
        <f>'Balance Sheet'!L53</f>
        <v>-3.509344790547797E-2</v>
      </c>
      <c r="I41" s="99">
        <v>0.02</v>
      </c>
      <c r="J41" s="99">
        <v>0.02</v>
      </c>
      <c r="K41" s="99">
        <v>0.02</v>
      </c>
      <c r="L41" s="99">
        <v>0.02</v>
      </c>
      <c r="M41" s="99">
        <v>0.02</v>
      </c>
      <c r="N41" s="97"/>
    </row>
    <row r="42" spans="1:14" x14ac:dyDescent="0.2">
      <c r="C42" s="97"/>
      <c r="D42" s="97"/>
      <c r="E42" s="97"/>
      <c r="F42" s="97"/>
      <c r="G42" s="97"/>
      <c r="H42" s="97"/>
      <c r="I42" s="98"/>
      <c r="J42" s="98"/>
      <c r="K42" s="98"/>
      <c r="L42" s="98"/>
      <c r="M42" s="98"/>
      <c r="N42" s="97"/>
    </row>
    <row r="43" spans="1:14" x14ac:dyDescent="0.2">
      <c r="C43" s="97"/>
      <c r="D43" s="97"/>
      <c r="E43" s="97"/>
      <c r="F43" s="97"/>
      <c r="G43" s="97"/>
      <c r="H43" s="97"/>
      <c r="I43" s="98"/>
      <c r="J43" s="98"/>
      <c r="K43" s="98"/>
      <c r="L43" s="98"/>
      <c r="M43" s="98"/>
      <c r="N43" s="97"/>
    </row>
    <row r="44" spans="1:14" x14ac:dyDescent="0.2">
      <c r="C44" s="97"/>
      <c r="D44" s="97"/>
      <c r="E44" s="97"/>
      <c r="F44" s="97"/>
      <c r="G44" s="97"/>
      <c r="H44" s="97"/>
      <c r="I44" s="98"/>
      <c r="J44" s="98"/>
      <c r="K44" s="98"/>
      <c r="L44" s="98"/>
      <c r="M44" s="98"/>
      <c r="N44" s="97"/>
    </row>
    <row r="45" spans="1:14" x14ac:dyDescent="0.2">
      <c r="A45" s="34" t="s">
        <v>153</v>
      </c>
      <c r="C45" s="97"/>
      <c r="D45" s="97"/>
      <c r="E45" s="97"/>
      <c r="F45" s="97"/>
      <c r="G45" s="97"/>
      <c r="H45" s="97"/>
      <c r="I45" s="98"/>
      <c r="J45" s="98"/>
      <c r="K45" s="98"/>
      <c r="L45" s="98"/>
      <c r="M45" s="98"/>
      <c r="N45" s="97"/>
    </row>
    <row r="46" spans="1:14" x14ac:dyDescent="0.2">
      <c r="C46" s="97"/>
      <c r="D46" s="97"/>
      <c r="E46" s="97"/>
      <c r="F46" s="97"/>
      <c r="G46" s="97"/>
      <c r="H46" s="97"/>
      <c r="I46" s="98"/>
      <c r="J46" s="98"/>
      <c r="K46" s="98"/>
      <c r="L46" s="98"/>
      <c r="M46" s="98"/>
      <c r="N46" s="97"/>
    </row>
    <row r="47" spans="1:14" x14ac:dyDescent="0.2">
      <c r="A47" t="s">
        <v>154</v>
      </c>
      <c r="C47" s="97">
        <f>'Balance Sheet'!G67</f>
        <v>0.425561797752809</v>
      </c>
      <c r="D47" s="97">
        <f>'Balance Sheet'!H67</f>
        <v>0.79462102689486558</v>
      </c>
      <c r="E47" s="97">
        <f>'Balance Sheet'!I67</f>
        <v>0.85046728971962615</v>
      </c>
      <c r="F47" s="97">
        <f>'Balance Sheet'!J67</f>
        <v>0</v>
      </c>
      <c r="G47" s="97">
        <f>'Balance Sheet'!K67</f>
        <v>0</v>
      </c>
      <c r="H47" s="97">
        <f>'Balance Sheet'!L67</f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7"/>
    </row>
    <row r="48" spans="1:14" x14ac:dyDescent="0.2">
      <c r="C48" s="97"/>
      <c r="D48" s="97"/>
      <c r="E48" s="97"/>
      <c r="F48" s="97"/>
      <c r="G48" s="97"/>
      <c r="H48" s="97"/>
      <c r="I48" s="98"/>
      <c r="J48" s="98"/>
      <c r="K48" s="98"/>
      <c r="L48" s="98"/>
      <c r="M48" s="98"/>
      <c r="N48" s="97"/>
    </row>
    <row r="49" spans="1:14" x14ac:dyDescent="0.2">
      <c r="A49" t="s">
        <v>155</v>
      </c>
      <c r="C49" s="97">
        <f>'Balance Sheet'!G69</f>
        <v>0.10543584007184242</v>
      </c>
      <c r="D49" s="97">
        <f>'Balance Sheet'!H69</f>
        <v>0.10077862325252168</v>
      </c>
      <c r="E49" s="97">
        <f>'Balance Sheet'!I69</f>
        <v>0.11026328136018629</v>
      </c>
      <c r="F49" s="97">
        <f>'Balance Sheet'!J69</f>
        <v>0.11273253643092063</v>
      </c>
      <c r="G49" s="97">
        <f>'Balance Sheet'!K69</f>
        <v>0.12723041290417683</v>
      </c>
      <c r="H49" s="97">
        <f>'Balance Sheet'!L69</f>
        <v>0.1147319849178256</v>
      </c>
      <c r="I49" s="98">
        <v>0.115</v>
      </c>
      <c r="J49" s="98">
        <v>0.115</v>
      </c>
      <c r="K49" s="98">
        <v>0.115</v>
      </c>
      <c r="L49" s="98">
        <v>0.12</v>
      </c>
      <c r="M49" s="98">
        <v>0.12</v>
      </c>
      <c r="N49" s="97"/>
    </row>
    <row r="50" spans="1:14" x14ac:dyDescent="0.2">
      <c r="C50" s="97"/>
      <c r="D50" s="97"/>
      <c r="E50" s="97"/>
      <c r="F50" s="97"/>
      <c r="G50" s="97"/>
      <c r="H50" s="97"/>
      <c r="I50" s="98"/>
      <c r="J50" s="98"/>
      <c r="K50" s="98"/>
      <c r="L50" s="98"/>
      <c r="M50" s="98"/>
      <c r="N50" s="97"/>
    </row>
    <row r="51" spans="1:14" x14ac:dyDescent="0.2">
      <c r="A51" t="s">
        <v>215</v>
      </c>
      <c r="C51" s="97">
        <f>'Balance Sheet'!G78</f>
        <v>3.4908956276167934E-2</v>
      </c>
      <c r="D51" s="97">
        <f>'Balance Sheet'!H78</f>
        <v>2.6392294663397122E-2</v>
      </c>
      <c r="E51" s="97">
        <f>'Balance Sheet'!I78</f>
        <v>2.7942882307734375E-2</v>
      </c>
      <c r="F51" s="97">
        <f>'Balance Sheet'!J78</f>
        <v>2.4861002419350714E-2</v>
      </c>
      <c r="G51" s="97">
        <f>'Balance Sheet'!K78</f>
        <v>2.7867179176782487E-2</v>
      </c>
      <c r="H51" s="97">
        <f>'Balance Sheet'!L78</f>
        <v>2.9082185742312763E-2</v>
      </c>
      <c r="I51" s="99">
        <v>2.8000000000000001E-2</v>
      </c>
      <c r="J51" s="99">
        <v>2.8000000000000001E-2</v>
      </c>
      <c r="K51" s="99">
        <v>2.8000000000000001E-2</v>
      </c>
      <c r="L51" s="99">
        <v>2.8000000000000001E-2</v>
      </c>
      <c r="M51" s="99">
        <v>0.03</v>
      </c>
      <c r="N51" s="97"/>
    </row>
    <row r="52" spans="1:14" x14ac:dyDescent="0.2">
      <c r="C52" s="97"/>
      <c r="D52" s="97"/>
      <c r="E52" s="97"/>
      <c r="F52" s="97"/>
      <c r="G52" s="97"/>
      <c r="H52" s="97"/>
      <c r="I52" s="98"/>
      <c r="J52" s="98"/>
      <c r="K52" s="98"/>
      <c r="L52" s="98"/>
      <c r="M52" s="98"/>
      <c r="N52" s="97"/>
    </row>
    <row r="53" spans="1:14" x14ac:dyDescent="0.2">
      <c r="A53" t="s">
        <v>156</v>
      </c>
      <c r="C53" s="97">
        <f>'Balance Sheet'!G80</f>
        <v>5.8271755296101554E-2</v>
      </c>
      <c r="D53" s="97">
        <f>'Balance Sheet'!H80</f>
        <v>2.3943764436280306E-2</v>
      </c>
      <c r="E53" s="97">
        <f>'Balance Sheet'!I80</f>
        <v>0</v>
      </c>
      <c r="F53" s="97">
        <f>'Balance Sheet'!J80</f>
        <v>2.9394786062299397E-2</v>
      </c>
      <c r="G53" s="97">
        <f>'Balance Sheet'!K80</f>
        <v>4.4035359518818921E-2</v>
      </c>
      <c r="H53" s="97">
        <f>'Balance Sheet'!L80</f>
        <v>0</v>
      </c>
      <c r="I53" s="99">
        <v>0.03</v>
      </c>
      <c r="J53" s="99">
        <v>0.03</v>
      </c>
      <c r="K53" s="99">
        <v>0.04</v>
      </c>
      <c r="L53" s="99">
        <v>0.02</v>
      </c>
      <c r="M53" s="99">
        <v>0.03</v>
      </c>
      <c r="N53" s="97"/>
    </row>
    <row r="54" spans="1:14" x14ac:dyDescent="0.2">
      <c r="C54" s="97"/>
      <c r="D54" s="97"/>
      <c r="E54" s="97"/>
      <c r="F54" s="97"/>
      <c r="G54" s="97"/>
      <c r="H54" s="97"/>
      <c r="I54" s="98"/>
      <c r="J54" s="98"/>
      <c r="K54" s="98"/>
      <c r="L54" s="98"/>
      <c r="M54" s="98"/>
      <c r="N54" s="97"/>
    </row>
    <row r="55" spans="1:14" x14ac:dyDescent="0.2">
      <c r="A55" t="s">
        <v>157</v>
      </c>
      <c r="C55" s="97">
        <f>'Balance Sheet'!G82</f>
        <v>3.4920895155340602E-2</v>
      </c>
      <c r="D55" s="97">
        <f>'Balance Sheet'!H82</f>
        <v>3.3164796391611955E-2</v>
      </c>
      <c r="E55" s="97">
        <f>'Balance Sheet'!I82</f>
        <v>6.0390872812851736E-2</v>
      </c>
      <c r="F55" s="97">
        <f>'Balance Sheet'!J82</f>
        <v>4.1856204924531064E-2</v>
      </c>
      <c r="G55" s="97">
        <f>'Balance Sheet'!K82</f>
        <v>2.0018834107961968E-2</v>
      </c>
      <c r="H55" s="97">
        <f>'Balance Sheet'!L82</f>
        <v>4.1203974284044417E-2</v>
      </c>
      <c r="I55" s="99">
        <v>0.04</v>
      </c>
      <c r="J55" s="99">
        <v>0.04</v>
      </c>
      <c r="K55" s="99">
        <v>0.04</v>
      </c>
      <c r="L55" s="99">
        <v>0.03</v>
      </c>
      <c r="M55" s="99">
        <v>0.04</v>
      </c>
      <c r="N55" s="97"/>
    </row>
    <row r="56" spans="1:14" x14ac:dyDescent="0.2">
      <c r="C56" s="97"/>
      <c r="D56" s="97"/>
      <c r="E56" s="97"/>
      <c r="F56" s="97"/>
      <c r="G56" s="97"/>
      <c r="H56" s="97"/>
      <c r="I56" s="98"/>
      <c r="J56" s="98"/>
      <c r="K56" s="98"/>
      <c r="L56" s="98"/>
      <c r="M56" s="98"/>
      <c r="N56" s="97"/>
    </row>
    <row r="57" spans="1:14" x14ac:dyDescent="0.2">
      <c r="A57" t="s">
        <v>158</v>
      </c>
      <c r="C57" s="38">
        <f>'Balance Sheet'!G84</f>
        <v>7.7592963854282773E-4</v>
      </c>
      <c r="D57" s="38">
        <f>'Balance Sheet'!H84</f>
        <v>6.2567939934777661E-4</v>
      </c>
      <c r="E57" s="38">
        <f>'Balance Sheet'!I84</f>
        <v>4.9795206419839786E-4</v>
      </c>
      <c r="F57" s="38">
        <f>'Balance Sheet'!J84</f>
        <v>4.2197977566020654E-4</v>
      </c>
      <c r="G57" s="38">
        <f>'Balance Sheet'!K84</f>
        <v>2.8141897701968371E-4</v>
      </c>
      <c r="H57" s="38">
        <f>'Balance Sheet'!L84</f>
        <v>2.3837857165830134E-4</v>
      </c>
      <c r="I57" s="75">
        <v>5.0000000000000001E-4</v>
      </c>
      <c r="J57" s="75">
        <v>5.0000000000000001E-4</v>
      </c>
      <c r="K57" s="75">
        <v>5.0000000000000001E-4</v>
      </c>
      <c r="L57" s="75">
        <v>5.0000000000000001E-4</v>
      </c>
      <c r="M57" s="75">
        <v>5.0000000000000001E-4</v>
      </c>
      <c r="N57" s="97"/>
    </row>
    <row r="58" spans="1:14" x14ac:dyDescent="0.2">
      <c r="C58" s="97"/>
      <c r="D58" s="97"/>
      <c r="E58" s="97"/>
      <c r="F58" s="97"/>
      <c r="G58" s="97"/>
      <c r="H58" s="97"/>
      <c r="I58" s="98"/>
      <c r="J58" s="98"/>
      <c r="K58" s="98"/>
      <c r="L58" s="98"/>
      <c r="M58" s="98"/>
      <c r="N58" s="97"/>
    </row>
    <row r="59" spans="1:14" x14ac:dyDescent="0.2">
      <c r="A59" t="s">
        <v>157</v>
      </c>
      <c r="C59" s="97">
        <f>'Balance Sheet'!G88</f>
        <v>0</v>
      </c>
      <c r="D59" s="97">
        <f>'Balance Sheet'!H88</f>
        <v>9.6666242293072403E-3</v>
      </c>
      <c r="E59" s="97">
        <f>'Balance Sheet'!I88</f>
        <v>6.1536887342678807E-2</v>
      </c>
      <c r="F59" s="97">
        <f>'Balance Sheet'!J88</f>
        <v>4.8914340252922933E-2</v>
      </c>
      <c r="G59" s="97">
        <f>'Balance Sheet'!K88</f>
        <v>1.7485342811142501E-2</v>
      </c>
      <c r="H59" s="97">
        <f>'Balance Sheet'!L88</f>
        <v>0</v>
      </c>
      <c r="I59" s="99">
        <v>0.03</v>
      </c>
      <c r="J59" s="99">
        <v>0.03</v>
      </c>
      <c r="K59" s="99">
        <v>0.03</v>
      </c>
      <c r="L59" s="99">
        <v>0.03</v>
      </c>
      <c r="M59" s="99">
        <v>0.03</v>
      </c>
      <c r="N59" s="97"/>
    </row>
    <row r="60" spans="1:14" x14ac:dyDescent="0.2">
      <c r="C60" s="97"/>
      <c r="D60" s="97"/>
      <c r="E60" s="97"/>
      <c r="F60" s="97"/>
      <c r="G60" s="97"/>
      <c r="H60" s="97"/>
      <c r="I60" s="98"/>
      <c r="J60" s="98"/>
      <c r="K60" s="98"/>
      <c r="L60" s="98"/>
      <c r="M60" s="98"/>
      <c r="N60" s="97"/>
    </row>
    <row r="61" spans="1:14" x14ac:dyDescent="0.2">
      <c r="A61" t="s">
        <v>159</v>
      </c>
      <c r="C61" s="97">
        <f>'Balance Sheet'!G91</f>
        <v>5.5654242602082016E-3</v>
      </c>
      <c r="D61" s="97">
        <f>'Balance Sheet'!H91</f>
        <v>4.5345956467881792E-3</v>
      </c>
      <c r="E61" s="97">
        <f>'Balance Sheet'!I91</f>
        <v>3.5892845321121515E-3</v>
      </c>
      <c r="F61" s="97">
        <f>'Balance Sheet'!J91</f>
        <v>3.0229096656385706E-3</v>
      </c>
      <c r="G61" s="97">
        <f>'Balance Sheet'!K91</f>
        <v>2.5908413757367707E-3</v>
      </c>
      <c r="H61" s="97">
        <f>'Balance Sheet'!L91</f>
        <v>2.6524345830550673E-3</v>
      </c>
      <c r="I61" s="99">
        <v>3.0000000000000001E-3</v>
      </c>
      <c r="J61" s="99">
        <v>3.0000000000000001E-3</v>
      </c>
      <c r="K61" s="99">
        <v>4.0000000000000001E-3</v>
      </c>
      <c r="L61" s="99">
        <v>4.0000000000000001E-3</v>
      </c>
      <c r="M61" s="99">
        <v>4.0000000000000001E-3</v>
      </c>
      <c r="N61" s="97"/>
    </row>
    <row r="62" spans="1:14" x14ac:dyDescent="0.2">
      <c r="C62" s="97"/>
      <c r="D62" s="97"/>
      <c r="E62" s="97"/>
      <c r="F62" s="97"/>
      <c r="G62" s="97"/>
      <c r="H62" s="97"/>
      <c r="I62" s="98"/>
      <c r="J62" s="98"/>
      <c r="K62" s="98"/>
      <c r="L62" s="98"/>
      <c r="M62" s="98"/>
      <c r="N62" s="97"/>
    </row>
    <row r="63" spans="1:14" x14ac:dyDescent="0.2">
      <c r="C63" s="97"/>
      <c r="D63" s="97"/>
      <c r="E63" s="97"/>
      <c r="F63" s="97"/>
      <c r="G63" s="97"/>
      <c r="H63" s="97"/>
      <c r="I63" s="98"/>
      <c r="J63" s="98"/>
      <c r="K63" s="98"/>
      <c r="L63" s="98"/>
      <c r="M63" s="98"/>
      <c r="N63" s="97"/>
    </row>
    <row r="64" spans="1:14" x14ac:dyDescent="0.2">
      <c r="C64" s="97"/>
      <c r="D64" s="97"/>
      <c r="E64" s="97"/>
      <c r="F64" s="97"/>
      <c r="G64" s="97"/>
      <c r="H64" s="97"/>
      <c r="I64" s="98"/>
      <c r="J64" s="98"/>
      <c r="K64" s="98"/>
      <c r="L64" s="98"/>
      <c r="M64" s="98"/>
      <c r="N64" s="97"/>
    </row>
    <row r="65" spans="3:14" x14ac:dyDescent="0.2">
      <c r="C65" s="97"/>
      <c r="D65" s="97"/>
      <c r="E65" s="97"/>
      <c r="F65" s="97"/>
      <c r="G65" s="97"/>
      <c r="H65" s="97"/>
      <c r="I65" s="98"/>
      <c r="J65" s="98"/>
      <c r="K65" s="98"/>
      <c r="L65" s="98"/>
      <c r="M65" s="98"/>
      <c r="N65" s="97"/>
    </row>
    <row r="66" spans="3:14" x14ac:dyDescent="0.2">
      <c r="C66" s="97"/>
      <c r="D66" s="97"/>
      <c r="E66" s="97"/>
      <c r="F66" s="97"/>
      <c r="G66" s="97"/>
      <c r="H66" s="97"/>
      <c r="I66" s="98"/>
      <c r="J66" s="98"/>
      <c r="K66" s="98"/>
      <c r="L66" s="98"/>
      <c r="M66" s="98"/>
      <c r="N66" s="97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C1"/>
    </sheetView>
  </sheetViews>
  <sheetFormatPr defaultRowHeight="12.75" x14ac:dyDescent="0.2"/>
  <cols>
    <col min="1" max="3" width="9.140625" style="5" customWidth="1"/>
    <col min="4" max="4" width="17" style="5" bestFit="1" customWidth="1"/>
    <col min="5" max="10" width="11.28515625" style="5" bestFit="1" customWidth="1"/>
    <col min="11" max="16384" width="9.140625" style="5"/>
  </cols>
  <sheetData>
    <row r="1" spans="1:10" x14ac:dyDescent="0.2">
      <c r="A1" s="5" t="s">
        <v>241</v>
      </c>
    </row>
    <row r="2" spans="1:10" s="1" customFormat="1" ht="18" x14ac:dyDescent="0.25">
      <c r="A2" s="1" t="s">
        <v>134</v>
      </c>
    </row>
    <row r="6" spans="1:10" s="2" customFormat="1" x14ac:dyDescent="0.2">
      <c r="E6" s="2" t="s">
        <v>70</v>
      </c>
      <c r="F6" s="2" t="s">
        <v>68</v>
      </c>
      <c r="G6" s="2" t="s">
        <v>65</v>
      </c>
      <c r="H6" s="2" t="s">
        <v>63</v>
      </c>
      <c r="I6" s="2" t="s">
        <v>3</v>
      </c>
      <c r="J6" s="2" t="s">
        <v>2</v>
      </c>
    </row>
    <row r="8" spans="1:10" x14ac:dyDescent="0.2">
      <c r="B8" s="5" t="s">
        <v>135</v>
      </c>
      <c r="E8" s="5">
        <f>'Balance Sheet'!G59</f>
        <v>315064</v>
      </c>
      <c r="F8" s="5">
        <f>'Balance Sheet'!H59</f>
        <v>535846</v>
      </c>
      <c r="G8" s="5">
        <f>'Balance Sheet'!I59</f>
        <v>587099</v>
      </c>
      <c r="H8" s="5">
        <f>'Balance Sheet'!J59</f>
        <v>673023</v>
      </c>
      <c r="I8" s="5">
        <f>'Balance Sheet'!K59</f>
        <v>793528</v>
      </c>
      <c r="J8" s="5">
        <f>'Balance Sheet'!L59</f>
        <v>894705</v>
      </c>
    </row>
    <row r="9" spans="1:10" x14ac:dyDescent="0.2">
      <c r="B9" s="5" t="s">
        <v>136</v>
      </c>
      <c r="E9" s="5">
        <f>'Balance Sheet'!G96</f>
        <v>269152</v>
      </c>
      <c r="F9" s="5">
        <f>'Balance Sheet'!H96</f>
        <v>486217</v>
      </c>
      <c r="G9" s="5">
        <f>'Balance Sheet'!I96</f>
        <v>525640</v>
      </c>
      <c r="H9" s="5">
        <f>'Balance Sheet'!J96</f>
        <v>602263</v>
      </c>
      <c r="I9" s="5">
        <f>'Balance Sheet'!K96</f>
        <v>709379</v>
      </c>
      <c r="J9" s="5">
        <f>'Balance Sheet'!L96</f>
        <v>809970</v>
      </c>
    </row>
    <row r="11" spans="1:10" x14ac:dyDescent="0.2">
      <c r="C11" s="37" t="s">
        <v>137</v>
      </c>
      <c r="E11" s="11">
        <f t="shared" ref="E11:J11" si="0">E8/E9</f>
        <v>1.1705801926049222</v>
      </c>
      <c r="F11" s="11">
        <f t="shared" si="0"/>
        <v>1.1020717087226486</v>
      </c>
      <c r="G11" s="11">
        <f t="shared" si="0"/>
        <v>1.116922228140933</v>
      </c>
      <c r="H11" s="11">
        <f t="shared" si="0"/>
        <v>1.1174901994643536</v>
      </c>
      <c r="I11" s="11">
        <f t="shared" si="0"/>
        <v>1.1186234720791002</v>
      </c>
      <c r="J11" s="11">
        <f t="shared" si="0"/>
        <v>1.1046149857402126</v>
      </c>
    </row>
    <row r="13" spans="1:10" x14ac:dyDescent="0.2">
      <c r="B13" s="5" t="s">
        <v>139</v>
      </c>
      <c r="E13" s="5">
        <f>'Income Statement'!D7</f>
        <v>253889</v>
      </c>
      <c r="F13" s="5">
        <f>'Income Statement'!E7</f>
        <v>316456</v>
      </c>
      <c r="G13" s="5">
        <f>'Income Statement'!F7</f>
        <v>347423</v>
      </c>
      <c r="H13" s="5">
        <f>'Income Statement'!G7</f>
        <v>391014</v>
      </c>
      <c r="I13" s="5">
        <f>'Income Statement'!H7</f>
        <v>447731</v>
      </c>
      <c r="J13" s="5">
        <f>'Income Statement'!I7</f>
        <v>528571</v>
      </c>
    </row>
    <row r="14" spans="1:10" x14ac:dyDescent="0.2">
      <c r="B14" s="5" t="s">
        <v>16</v>
      </c>
      <c r="E14" s="5">
        <f>'Balance Sheet'!G59</f>
        <v>315064</v>
      </c>
      <c r="F14" s="5">
        <f>'Balance Sheet'!H59</f>
        <v>535846</v>
      </c>
      <c r="G14" s="5">
        <f>'Balance Sheet'!I59</f>
        <v>587099</v>
      </c>
      <c r="H14" s="5">
        <f>'Balance Sheet'!J59</f>
        <v>673023</v>
      </c>
      <c r="I14" s="5">
        <f>'Balance Sheet'!K59</f>
        <v>793528</v>
      </c>
      <c r="J14" s="5">
        <f>'Balance Sheet'!L59</f>
        <v>894705</v>
      </c>
    </row>
    <row r="16" spans="1:10" x14ac:dyDescent="0.2">
      <c r="C16" s="37" t="s">
        <v>138</v>
      </c>
      <c r="E16" s="11">
        <f t="shared" ref="E16:J16" si="1">E13/E14</f>
        <v>0.80583310057639079</v>
      </c>
      <c r="F16" s="11">
        <f t="shared" si="1"/>
        <v>0.5905726645342132</v>
      </c>
      <c r="G16" s="11">
        <f t="shared" si="1"/>
        <v>0.59176220705536886</v>
      </c>
      <c r="H16" s="11">
        <f t="shared" si="1"/>
        <v>0.58098163064263775</v>
      </c>
      <c r="I16" s="11">
        <f t="shared" si="1"/>
        <v>0.56422835741145871</v>
      </c>
      <c r="J16" s="11">
        <f t="shared" si="1"/>
        <v>0.59077684823489307</v>
      </c>
    </row>
    <row r="18" spans="2:11" x14ac:dyDescent="0.2">
      <c r="B18" s="5" t="s">
        <v>140</v>
      </c>
      <c r="E18" s="5">
        <f>'Income Statement'!D44</f>
        <v>57035</v>
      </c>
      <c r="F18" s="5">
        <f>'Income Statement'!E44</f>
        <v>73697</v>
      </c>
      <c r="G18" s="5">
        <f>'Income Statement'!F44</f>
        <v>60785</v>
      </c>
      <c r="H18" s="5">
        <f>'Income Statement'!G44</f>
        <v>79220</v>
      </c>
      <c r="I18" s="5">
        <f>'Income Statement'!H44</f>
        <v>102116</v>
      </c>
      <c r="J18" s="5">
        <f>'Income Statement'!I44</f>
        <v>96947</v>
      </c>
    </row>
    <row r="19" spans="2:11" x14ac:dyDescent="0.2">
      <c r="B19" s="5" t="s">
        <v>78</v>
      </c>
      <c r="E19" s="5">
        <f>'Income Statement'!D7</f>
        <v>253889</v>
      </c>
      <c r="F19" s="5">
        <f>'Income Statement'!E7</f>
        <v>316456</v>
      </c>
      <c r="G19" s="5">
        <f>'Income Statement'!F7</f>
        <v>347423</v>
      </c>
      <c r="H19" s="5">
        <f>'Income Statement'!G7</f>
        <v>391014</v>
      </c>
      <c r="I19" s="5">
        <f>'Income Statement'!H7</f>
        <v>447731</v>
      </c>
      <c r="J19" s="5">
        <f>'Income Statement'!I7</f>
        <v>528571</v>
      </c>
    </row>
    <row r="21" spans="2:11" x14ac:dyDescent="0.2">
      <c r="C21" s="37" t="s">
        <v>141</v>
      </c>
      <c r="E21" s="38">
        <f t="shared" ref="E21:J21" si="2">E18/E19</f>
        <v>0.22464541591010245</v>
      </c>
      <c r="F21" s="38">
        <f t="shared" si="2"/>
        <v>0.23288229643299543</v>
      </c>
      <c r="G21" s="38">
        <f t="shared" si="2"/>
        <v>0.17495963134277234</v>
      </c>
      <c r="H21" s="38">
        <f t="shared" si="2"/>
        <v>0.20260144138061553</v>
      </c>
      <c r="I21" s="38">
        <f t="shared" si="2"/>
        <v>0.22807444648684144</v>
      </c>
      <c r="J21" s="38">
        <f t="shared" si="2"/>
        <v>0.18341339195680428</v>
      </c>
    </row>
    <row r="23" spans="2:11" ht="13.5" thickBot="1" x14ac:dyDescent="0.25">
      <c r="B23" s="10"/>
      <c r="C23" s="10"/>
      <c r="D23" s="10"/>
      <c r="E23" s="10"/>
      <c r="F23" s="10"/>
      <c r="G23" s="10"/>
      <c r="H23" s="10"/>
      <c r="I23" s="10"/>
      <c r="J23" s="10"/>
    </row>
    <row r="24" spans="2:11" ht="14.25" thickTop="1" thickBot="1" x14ac:dyDescent="0.25">
      <c r="B24" s="39" t="s">
        <v>142</v>
      </c>
      <c r="C24" s="39"/>
      <c r="D24" s="41" t="s">
        <v>143</v>
      </c>
      <c r="E24" s="40">
        <f t="shared" ref="E24:J24" si="3">E11*E16*E21</f>
        <v>0.21190628343835455</v>
      </c>
      <c r="F24" s="40">
        <f t="shared" si="3"/>
        <v>0.15157224037826733</v>
      </c>
      <c r="G24" s="40">
        <f t="shared" si="3"/>
        <v>0.11563998173654973</v>
      </c>
      <c r="H24" s="40">
        <f t="shared" si="3"/>
        <v>0.13153721878979779</v>
      </c>
      <c r="I24" s="40">
        <f t="shared" si="3"/>
        <v>0.14395125877704301</v>
      </c>
      <c r="J24" s="40">
        <f t="shared" si="3"/>
        <v>0.11969208736126029</v>
      </c>
      <c r="K24" s="36"/>
    </row>
    <row r="25" spans="2:11" ht="13.5" thickTop="1" x14ac:dyDescent="0.2"/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sqref="A1:C1"/>
    </sheetView>
  </sheetViews>
  <sheetFormatPr defaultRowHeight="12.75" x14ac:dyDescent="0.2"/>
  <cols>
    <col min="4" max="4" width="9.140625" style="36" customWidth="1"/>
    <col min="5" max="8" width="9.28515625" bestFit="1" customWidth="1"/>
    <col min="9" max="11" width="7.7109375" bestFit="1" customWidth="1"/>
    <col min="12" max="13" width="9.28515625" bestFit="1" customWidth="1"/>
  </cols>
  <sheetData>
    <row r="1" spans="1:13" x14ac:dyDescent="0.2">
      <c r="A1" t="s">
        <v>241</v>
      </c>
    </row>
    <row r="2" spans="1:13" s="33" customFormat="1" ht="18" x14ac:dyDescent="0.25">
      <c r="A2" s="33" t="s">
        <v>197</v>
      </c>
      <c r="D2" s="48"/>
    </row>
    <row r="4" spans="1:13" ht="15.75" x14ac:dyDescent="0.25">
      <c r="H4" s="77" t="s">
        <v>216</v>
      </c>
    </row>
    <row r="6" spans="1:13" s="43" customFormat="1" x14ac:dyDescent="0.2">
      <c r="D6" s="49"/>
      <c r="E6" s="49">
        <v>0.02</v>
      </c>
      <c r="F6" s="49">
        <v>2.5000000000000001E-2</v>
      </c>
      <c r="G6" s="49">
        <v>0.03</v>
      </c>
      <c r="H6" s="49">
        <v>3.5000000000000003E-2</v>
      </c>
      <c r="I6" s="49">
        <v>0.04</v>
      </c>
      <c r="J6" s="49">
        <v>4.4999999999999998E-2</v>
      </c>
      <c r="K6" s="49">
        <v>0.05</v>
      </c>
      <c r="L6" s="49">
        <v>5.5E-2</v>
      </c>
      <c r="M6" s="49">
        <v>0.06</v>
      </c>
    </row>
    <row r="7" spans="1:13" s="43" customFormat="1" x14ac:dyDescent="0.2">
      <c r="D7" s="50">
        <v>0.08</v>
      </c>
      <c r="E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Analysis'!E$6))/('DCF Sensitivity Analysis'!$D7-'DCF Sensitivity Analysis'!E$6))/(1+$D7)^'DCF Analysis'!$H$34)/'DCF Analysis'!$D$49)</f>
        <v>38.298173186921034</v>
      </c>
      <c r="F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Analysis'!F$6))/('DCF Sensitivity Analysis'!$D7-'DCF Sensitivity Analysis'!F$6))/(1+$D7)^'DCF Analysis'!$H$34)/'DCF Analysis'!$D$49)</f>
        <v>41.511153521261704</v>
      </c>
      <c r="G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Analysis'!G$6))/('DCF Sensitivity Analysis'!$D7-'DCF Sensitivity Analysis'!G$6))/(1+$D7)^'DCF Analysis'!$H$34)/'DCF Analysis'!$D$49)</f>
        <v>45.366729922470505</v>
      </c>
      <c r="H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Analysis'!H$6))/('DCF Sensitivity Analysis'!$D7-'DCF Sensitivity Analysis'!H$6))/(1+$D7)^'DCF Analysis'!$H$34)/'DCF Analysis'!$D$49)</f>
        <v>50.079101079503495</v>
      </c>
      <c r="I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Analysis'!I$6))/('DCF Sensitivity Analysis'!$D7-'DCF Sensitivity Analysis'!I$6))/(1+$D7)^'DCF Analysis'!$H$34)/'DCF Analysis'!$D$49)</f>
        <v>55.969565025794729</v>
      </c>
      <c r="J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Analysis'!J$6))/('DCF Sensitivity Analysis'!$D7-'DCF Sensitivity Analysis'!J$6))/(1+$D7)^'DCF Analysis'!$H$34)/'DCF Analysis'!$D$49)</f>
        <v>63.54301867102631</v>
      </c>
      <c r="K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Analysis'!K$6))/('DCF Sensitivity Analysis'!$D7-'DCF Sensitivity Analysis'!K$6))/(1+$D7)^'DCF Analysis'!$H$34)/'DCF Analysis'!$D$49)</f>
        <v>73.640956864668439</v>
      </c>
      <c r="L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Analysis'!L$6))/('DCF Sensitivity Analysis'!$D7-'DCF Sensitivity Analysis'!L$6))/(1+$D7)^'DCF Analysis'!$H$34)/'DCF Analysis'!$D$49)</f>
        <v>87.778070335767381</v>
      </c>
      <c r="M7" s="76">
        <f>((('DCF Analysis'!$D$37/(1+'DCF Sensitivity Analysis'!$D7))+('DCF Analysis'!$E$37/(1+'DCF Sensitivity Analysis'!$D7)^'DCF Analysis'!$E$34)+('DCF Analysis'!$F$37/(1+'DCF Sensitivity Analysis'!$D7)^'DCF Analysis'!$F$34)+('DCF Analysis'!$G$37/(1+'DCF Sensitivity Analysis'!$D7)^'DCF Analysis'!$G$34)+(('DCF Analysis'!$H$37*(1+'DCF Sensitivity Analysis'!M$6))/('DCF Sensitivity Analysis'!$D7-'DCF Sensitivity Analysis'!M$6))/(1+$D7)^'DCF Analysis'!$H$34)/'DCF Analysis'!$D$49)</f>
        <v>108.98374054241582</v>
      </c>
    </row>
    <row r="8" spans="1:13" s="43" customFormat="1" x14ac:dyDescent="0.2">
      <c r="D8" s="50">
        <v>0.09</v>
      </c>
      <c r="E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Analysis'!E$6))/('DCF Sensitivity Analysis'!$D8-'DCF Sensitivity Analysis'!E$6))/(1+$D8)^'DCF Analysis'!$H$34)/'DCF Analysis'!$D$49)</f>
        <v>32.119211383412342</v>
      </c>
      <c r="F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Analysis'!F$6))/('DCF Sensitivity Analysis'!$D8-'DCF Sensitivity Analysis'!F$6))/(1+$D8)^'DCF Analysis'!$H$34)/'DCF Analysis'!$D$49)</f>
        <v>34.365159093177368</v>
      </c>
      <c r="G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Analysis'!G$6))/('DCF Sensitivity Analysis'!$D8-'DCF Sensitivity Analysis'!G$6))/(1+$D8)^'DCF Analysis'!$H$34)/'DCF Analysis'!$D$49)</f>
        <v>36.985431421236591</v>
      </c>
      <c r="H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Analysis'!H$6))/('DCF Sensitivity Analysis'!$D8-'DCF Sensitivity Analysis'!H$6))/(1+$D8)^'DCF Analysis'!$H$34)/'DCF Analysis'!$D$49)</f>
        <v>40.082116899852025</v>
      </c>
      <c r="I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Analysis'!I$6))/('DCF Sensitivity Analysis'!$D8-'DCF Sensitivity Analysis'!I$6))/(1+$D8)^'DCF Analysis'!$H$34)/'DCF Analysis'!$D$49)</f>
        <v>43.798139474190549</v>
      </c>
      <c r="J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Analysis'!J$6))/('DCF Sensitivity Analysis'!$D8-'DCF Sensitivity Analysis'!J$6))/(1+$D8)^'DCF Analysis'!$H$34)/'DCF Analysis'!$D$49)</f>
        <v>48.339944842826512</v>
      </c>
      <c r="K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Analysis'!K$6))/('DCF Sensitivity Analysis'!$D8-'DCF Sensitivity Analysis'!K$6))/(1+$D8)^'DCF Analysis'!$H$34)/'DCF Analysis'!$D$49)</f>
        <v>54.01720155362149</v>
      </c>
      <c r="L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Analysis'!L$6))/('DCF Sensitivity Analysis'!$D8-'DCF Sensitivity Analysis'!L$6))/(1+$D8)^'DCF Analysis'!$H$34)/'DCF Analysis'!$D$49)</f>
        <v>61.316531610357856</v>
      </c>
      <c r="M8" s="76">
        <f>((('DCF Analysis'!$D$37/(1+'DCF Sensitivity Analysis'!$D8))+('DCF Analysis'!$E$37/(1+'DCF Sensitivity Analysis'!$D8)^'DCF Analysis'!$E$34)+('DCF Analysis'!$F$37/(1+'DCF Sensitivity Analysis'!$D8)^'DCF Analysis'!$F$34)+('DCF Analysis'!$G$37/(1+'DCF Sensitivity Analysis'!$D8)^'DCF Analysis'!$G$34)+(('DCF Analysis'!$H$37*(1+'DCF Sensitivity Analysis'!M$6))/('DCF Sensitivity Analysis'!$D8-'DCF Sensitivity Analysis'!M$6))/(1+$D8)^'DCF Analysis'!$H$34)/'DCF Analysis'!$D$49)</f>
        <v>71.048971686006368</v>
      </c>
    </row>
    <row r="9" spans="1:13" ht="12.75" customHeight="1" x14ac:dyDescent="0.2">
      <c r="D9" s="51">
        <v>0.1</v>
      </c>
      <c r="E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Analysis'!E$6))/('DCF Sensitivity Analysis'!$D9-'DCF Sensitivity Analysis'!E$6))/(1+$D9)^'DCF Analysis'!$H$34)/'DCF Analysis'!$D$49)</f>
        <v>27.519470588222809</v>
      </c>
      <c r="F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Analysis'!F$6))/('DCF Sensitivity Analysis'!$D9-'DCF Sensitivity Analysis'!F$6))/(1+$D9)^'DCF Analysis'!$H$34)/'DCF Analysis'!$D$49)</f>
        <v>29.161553335618596</v>
      </c>
      <c r="G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Analysis'!G$6))/('DCF Sensitivity Analysis'!$D9-'DCF Sensitivity Analysis'!G$6))/(1+$D9)^'DCF Analysis'!$H$34)/'DCF Analysis'!$D$49)</f>
        <v>31.038219332642356</v>
      </c>
      <c r="H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Analysis'!H$6))/('DCF Sensitivity Analysis'!$D9-'DCF Sensitivity Analysis'!H$6))/(1+$D9)^'DCF Analysis'!$H$34)/'DCF Analysis'!$D$49)</f>
        <v>33.203603175362076</v>
      </c>
      <c r="I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Analysis'!I$6))/('DCF Sensitivity Analysis'!$D9-'DCF Sensitivity Analysis'!I$6))/(1+$D9)^'DCF Analysis'!$H$34)/'DCF Analysis'!$D$49)</f>
        <v>35.729884325201759</v>
      </c>
      <c r="J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Analysis'!J$6))/('DCF Sensitivity Analysis'!$D9-'DCF Sensitivity Analysis'!J$6))/(1+$D9)^'DCF Analysis'!$H$34)/'DCF Analysis'!$D$49)</f>
        <v>38.71548932046683</v>
      </c>
      <c r="K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Analysis'!K$6))/('DCF Sensitivity Analysis'!$D9-'DCF Sensitivity Analysis'!K$6))/(1+$D9)^'DCF Analysis'!$H$34)/'DCF Analysis'!$D$49)</f>
        <v>42.298215314784919</v>
      </c>
      <c r="L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Analysis'!L$6))/('DCF Sensitivity Analysis'!$D9-'DCF Sensitivity Analysis'!L$6))/(1+$D9)^'DCF Analysis'!$H$34)/'DCF Analysis'!$D$49)</f>
        <v>46.677102641173683</v>
      </c>
      <c r="M9" s="76">
        <f>((('DCF Analysis'!$D$37/(1+'DCF Sensitivity Analysis'!$D9))+('DCF Analysis'!$E$37/(1+'DCF Sensitivity Analysis'!$D9)^'DCF Analysis'!$E$34)+('DCF Analysis'!$F$37/(1+'DCF Sensitivity Analysis'!$D9)^'DCF Analysis'!$F$34)+('DCF Analysis'!$G$37/(1+'DCF Sensitivity Analysis'!$D9)^'DCF Analysis'!$G$34)+(('DCF Analysis'!$H$37*(1+'DCF Sensitivity Analysis'!M$6))/('DCF Sensitivity Analysis'!$D9-'DCF Sensitivity Analysis'!M$6))/(1+$D9)^'DCF Analysis'!$H$34)/'DCF Analysis'!$D$49)</f>
        <v>52.150711799159666</v>
      </c>
    </row>
    <row r="10" spans="1:13" ht="12.75" customHeight="1" x14ac:dyDescent="0.25">
      <c r="B10" s="77" t="s">
        <v>169</v>
      </c>
      <c r="D10" s="51">
        <v>0.11</v>
      </c>
      <c r="E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Analysis'!E$6))/('DCF Sensitivity Analysis'!$D10-'DCF Sensitivity Analysis'!E$6))/(1+$D10)^'DCF Analysis'!$H$34)/'DCF Analysis'!$D$49)</f>
        <v>23.970524378591865</v>
      </c>
      <c r="F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Analysis'!F$6))/('DCF Sensitivity Analysis'!$D10-'DCF Sensitivity Analysis'!F$6))/(1+$D10)^'DCF Analysis'!$H$34)/'DCF Analysis'!$D$49)</f>
        <v>25.212644734014134</v>
      </c>
      <c r="G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Analysis'!G$6))/('DCF Sensitivity Analysis'!$D10-'DCF Sensitivity Analysis'!G$6))/(1+$D10)^'DCF Analysis'!$H$34)/'DCF Analysis'!$D$49)</f>
        <v>26.610030133864196</v>
      </c>
      <c r="H10" s="101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Analysis'!H$6))/('DCF Sensitivity Analysis'!$D10-'DCF Sensitivity Analysis'!H$6))/(1+$D10)^'DCF Analysis'!$H$34)/'DCF Analysis'!$D$49)</f>
        <v>28.193733587027594</v>
      </c>
      <c r="I10" s="101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Analysis'!I$6))/('DCF Sensitivity Analysis'!$D10-'DCF Sensitivity Analysis'!I$6))/(1+$D10)^'DCF Analysis'!$H$34)/'DCF Analysis'!$D$49)</f>
        <v>30.003680390642906</v>
      </c>
      <c r="J10" s="101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Analysis'!J$6))/('DCF Sensitivity Analysis'!$D10-'DCF Sensitivity Analysis'!J$6))/(1+$D10)^'DCF Analysis'!$H$34)/'DCF Analysis'!$D$49)</f>
        <v>32.092080548660569</v>
      </c>
      <c r="K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Analysis'!K$6))/('DCF Sensitivity Analysis'!$D10-'DCF Sensitivity Analysis'!K$6))/(1+$D10)^'DCF Analysis'!$H$34)/'DCF Analysis'!$D$49)</f>
        <v>34.528547399681187</v>
      </c>
      <c r="L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Analysis'!L$6))/('DCF Sensitivity Analysis'!$D10-'DCF Sensitivity Analysis'!L$6))/(1+$D10)^'DCF Analysis'!$H$34)/'DCF Analysis'!$D$49)</f>
        <v>37.408008223614644</v>
      </c>
      <c r="M10" s="76">
        <f>((('DCF Analysis'!$D$37/(1+'DCF Sensitivity Analysis'!$D10))+('DCF Analysis'!$E$37/(1+'DCF Sensitivity Analysis'!$D10)^'DCF Analysis'!$E$34)+('DCF Analysis'!$F$37/(1+'DCF Sensitivity Analysis'!$D10)^'DCF Analysis'!$F$34)+('DCF Analysis'!$G$37/(1+'DCF Sensitivity Analysis'!$D10)^'DCF Analysis'!$G$34)+(('DCF Analysis'!$H$37*(1+'DCF Sensitivity Analysis'!M$6))/('DCF Sensitivity Analysis'!$D10-'DCF Sensitivity Analysis'!M$6))/(1+$D10)^'DCF Analysis'!$H$34)/'DCF Analysis'!$D$49)</f>
        <v>40.863361212334787</v>
      </c>
    </row>
    <row r="11" spans="1:13" x14ac:dyDescent="0.2">
      <c r="D11" s="52">
        <v>0.1169</v>
      </c>
      <c r="E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Analysis'!E$6))/('DCF Sensitivity Analysis'!$D11-'DCF Sensitivity Analysis'!E$6))/(1+$D11)^'DCF Analysis'!$H$34)/'DCF Analysis'!$D$49)</f>
        <v>21.963424593205563</v>
      </c>
      <c r="F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Analysis'!F$6))/('DCF Sensitivity Analysis'!$D11-'DCF Sensitivity Analysis'!F$6))/(1+$D11)^'DCF Analysis'!$H$34)/'DCF Analysis'!$D$49)</f>
        <v>23.004352320449154</v>
      </c>
      <c r="G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Analysis'!G$6))/('DCF Sensitivity Analysis'!$D11-'DCF Sensitivity Analysis'!G$6))/(1+$D11)^'DCF Analysis'!$H$34)/'DCF Analysis'!$D$49)</f>
        <v>24.165064596282352</v>
      </c>
      <c r="H11" s="101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Analysis'!H$6))/('DCF Sensitivity Analysis'!$D11-'DCF Sensitivity Analysis'!H$6))/(1+$D11)^'DCF Analysis'!$H$34)/'DCF Analysis'!$D$49)</f>
        <v>25.467499982717889</v>
      </c>
      <c r="I11" s="101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Analysis'!I$6))/('DCF Sensitivity Analysis'!$D11-'DCF Sensitivity Analysis'!I$6))/(1+$D11)^'DCF Analysis'!$H$34)/'DCF Analysis'!$D$49)</f>
        <v>26.93930277961319</v>
      </c>
      <c r="J11" s="101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Analysis'!J$6))/('DCF Sensitivity Analysis'!$D11-'DCF Sensitivity Analysis'!J$6))/(1+$D11)^'DCF Analysis'!$H$34)/'DCF Analysis'!$D$49)</f>
        <v>28.615806939080848</v>
      </c>
      <c r="K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Analysis'!K$6))/('DCF Sensitivity Analysis'!$D11-'DCF Sensitivity Analysis'!K$6))/(1+$D11)^'DCF Analysis'!$H$34)/'DCF Analysis'!$D$49)</f>
        <v>30.542909627616925</v>
      </c>
      <c r="L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Analysis'!L$6))/('DCF Sensitivity Analysis'!$D11-'DCF Sensitivity Analysis'!L$6))/(1+$D11)^'DCF Analysis'!$H$34)/'DCF Analysis'!$D$49)</f>
        <v>32.781337467774328</v>
      </c>
      <c r="M11" s="76">
        <f>((('DCF Analysis'!$D$37/(1+'DCF Sensitivity Analysis'!$D11))+('DCF Analysis'!$E$37/(1+'DCF Sensitivity Analysis'!$D11)^'DCF Analysis'!$E$34)+('DCF Analysis'!$F$37/(1+'DCF Sensitivity Analysis'!$D11)^'DCF Analysis'!$F$34)+('DCF Analysis'!$G$37/(1+'DCF Sensitivity Analysis'!$D11)^'DCF Analysis'!$G$34)+(('DCF Analysis'!$H$37*(1+'DCF Sensitivity Analysis'!M$6))/('DCF Sensitivity Analysis'!$D11-'DCF Sensitivity Analysis'!M$6))/(1+$D11)^'DCF Analysis'!$H$34)/'DCF Analysis'!$D$49)</f>
        <v>35.413162116395256</v>
      </c>
    </row>
    <row r="12" spans="1:13" x14ac:dyDescent="0.2">
      <c r="D12" s="51">
        <v>0.12</v>
      </c>
      <c r="E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Analysis'!E$6))/('DCF Sensitivity Analysis'!$D12-'DCF Sensitivity Analysis'!E$6))/(1+$D12)^'DCF Analysis'!$H$34)/'DCF Analysis'!$D$49)</f>
        <v>21.155451734349835</v>
      </c>
      <c r="F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Analysis'!F$6))/('DCF Sensitivity Analysis'!$D12-'DCF Sensitivity Analysis'!F$6))/(1+$D12)^'DCF Analysis'!$H$34)/'DCF Analysis'!$D$49)</f>
        <v>22.120438446668462</v>
      </c>
      <c r="G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Analysis'!G$6))/('DCF Sensitivity Analysis'!$D12-'DCF Sensitivity Analysis'!G$6))/(1+$D12)^'DCF Analysis'!$H$34)/'DCF Analysis'!$D$49)</f>
        <v>23.192645904800273</v>
      </c>
      <c r="H12" s="101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Analysis'!H$6))/('DCF Sensitivity Analysis'!$D12-'DCF Sensitivity Analysis'!H$6))/(1+$D12)^'DCF Analysis'!$H$34)/'DCF Analysis'!$D$49)</f>
        <v>24.390995416829945</v>
      </c>
      <c r="I12" s="101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Analysis'!I$6))/('DCF Sensitivity Analysis'!$D12-'DCF Sensitivity Analysis'!I$6))/(1+$D12)^'DCF Analysis'!$H$34)/'DCF Analysis'!$D$49)</f>
        <v>25.739138617863325</v>
      </c>
      <c r="J12" s="101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Analysis'!J$6))/('DCF Sensitivity Analysis'!$D12-'DCF Sensitivity Analysis'!J$6))/(1+$D12)^'DCF Analysis'!$H$34)/'DCF Analysis'!$D$49)</f>
        <v>27.267034245701144</v>
      </c>
      <c r="K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Analysis'!K$6))/('DCF Sensitivity Analysis'!$D12-'DCF Sensitivity Analysis'!K$6))/(1+$D12)^'DCF Analysis'!$H$34)/'DCF Analysis'!$D$49)</f>
        <v>29.013200677515812</v>
      </c>
      <c r="L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Analysis'!L$6))/('DCF Sensitivity Analysis'!$D12-'DCF Sensitivity Analysis'!L$6))/(1+$D12)^'DCF Analysis'!$H$34)/'DCF Analysis'!$D$49)</f>
        <v>31.028008098840413</v>
      </c>
      <c r="M12" s="76">
        <f>((('DCF Analysis'!$D$37/(1+'DCF Sensitivity Analysis'!$D12))+('DCF Analysis'!$E$37/(1+'DCF Sensitivity Analysis'!$D12)^'DCF Analysis'!$E$34)+('DCF Analysis'!$F$37/(1+'DCF Sensitivity Analysis'!$D12)^'DCF Analysis'!$F$34)+('DCF Analysis'!$G$37/(1+'DCF Sensitivity Analysis'!$D12)^'DCF Analysis'!$G$34)+(('DCF Analysis'!$H$37*(1+'DCF Sensitivity Analysis'!M$6))/('DCF Sensitivity Analysis'!$D12-'DCF Sensitivity Analysis'!M$6))/(1+$D12)^'DCF Analysis'!$H$34)/'DCF Analysis'!$D$49)</f>
        <v>33.378616757052463</v>
      </c>
    </row>
    <row r="13" spans="1:13" x14ac:dyDescent="0.2">
      <c r="D13" s="51">
        <v>0.13</v>
      </c>
      <c r="E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Analysis'!E$6))/('DCF Sensitivity Analysis'!$D13-'DCF Sensitivity Analysis'!E$6))/(1+$D13)^'DCF Analysis'!$H$34)/'DCF Analysis'!$D$49)</f>
        <v>18.872688171632138</v>
      </c>
      <c r="F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Analysis'!F$6))/('DCF Sensitivity Analysis'!$D13-'DCF Sensitivity Analysis'!F$6))/(1+$D13)^'DCF Analysis'!$H$34)/'DCF Analysis'!$D$49)</f>
        <v>19.638674945879472</v>
      </c>
      <c r="G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Analysis'!G$6))/('DCF Sensitivity Analysis'!$D13-'DCF Sensitivity Analysis'!G$6))/(1+$D13)^'DCF Analysis'!$H$34)/'DCF Analysis'!$D$49)</f>
        <v>20.481260397551548</v>
      </c>
      <c r="H13" s="101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Analysis'!H$6))/('DCF Sensitivity Analysis'!$D13-'DCF Sensitivity Analysis'!H$6))/(1+$D13)^'DCF Analysis'!$H$34)/'DCF Analysis'!$D$49)</f>
        <v>21.412539054662787</v>
      </c>
      <c r="I13" s="101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Analysis'!I$6))/('DCF Sensitivity Analysis'!$D13-'DCF Sensitivity Analysis'!I$6))/(1+$D13)^'DCF Analysis'!$H$34)/'DCF Analysis'!$D$49)</f>
        <v>22.447293118119717</v>
      </c>
      <c r="J13" s="101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Analysis'!J$6))/('DCF Sensitivity Analysis'!$D13-'DCF Sensitivity Analysis'!J$6))/(1+$D13)^'DCF Analysis'!$H$34)/'DCF Analysis'!$D$49)</f>
        <v>23.603782953748052</v>
      </c>
      <c r="K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Analysis'!K$6))/('DCF Sensitivity Analysis'!$D13-'DCF Sensitivity Analysis'!K$6))/(1+$D13)^'DCF Analysis'!$H$34)/'DCF Analysis'!$D$49)</f>
        <v>24.904834018829931</v>
      </c>
      <c r="L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Analysis'!L$6))/('DCF Sensitivity Analysis'!$D13-'DCF Sensitivity Analysis'!L$6))/(1+$D13)^'DCF Analysis'!$H$34)/'DCF Analysis'!$D$49)</f>
        <v>26.379358559256055</v>
      </c>
      <c r="M13" s="76">
        <f>((('DCF Analysis'!$D$37/(1+'DCF Sensitivity Analysis'!$D13))+('DCF Analysis'!$E$37/(1+'DCF Sensitivity Analysis'!$D13)^'DCF Analysis'!$E$34)+('DCF Analysis'!$F$37/(1+'DCF Sensitivity Analysis'!$D13)^'DCF Analysis'!$F$34)+('DCF Analysis'!$G$37/(1+'DCF Sensitivity Analysis'!$D13)^'DCF Analysis'!$G$34)+(('DCF Analysis'!$H$37*(1+'DCF Sensitivity Analysis'!M$6))/('DCF Sensitivity Analysis'!$D13-'DCF Sensitivity Analysis'!M$6))/(1+$D13)^'DCF Analysis'!$H$34)/'DCF Analysis'!$D$49)</f>
        <v>28.064529462600202</v>
      </c>
    </row>
    <row r="14" spans="1:13" x14ac:dyDescent="0.2">
      <c r="D14" s="51">
        <v>0.14000000000000001</v>
      </c>
      <c r="E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Analysis'!E$6))/('DCF Sensitivity Analysis'!$D14-'DCF Sensitivity Analysis'!E$6))/(1+$D14)^'DCF Analysis'!$H$34)/'DCF Analysis'!$D$49)</f>
        <v>16.987952134453238</v>
      </c>
      <c r="F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Analysis'!F$6))/('DCF Sensitivity Analysis'!$D14-'DCF Sensitivity Analysis'!F$6))/(1+$D14)^'DCF Analysis'!$H$34)/'DCF Analysis'!$D$49)</f>
        <v>17.606849362360915</v>
      </c>
      <c r="G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Analysis'!G$6))/('DCF Sensitivity Analysis'!$D14-'DCF Sensitivity Analysis'!G$6))/(1+$D14)^'DCF Analysis'!$H$34)/'DCF Analysis'!$D$49)</f>
        <v>18.282009974623843</v>
      </c>
      <c r="H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Analysis'!H$6))/('DCF Sensitivity Analysis'!$D14-'DCF Sensitivity Analysis'!H$6))/(1+$D14)^'DCF Analysis'!$H$34)/'DCF Analysis'!$D$49)</f>
        <v>19.021471597578472</v>
      </c>
      <c r="I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Analysis'!I$6))/('DCF Sensitivity Analysis'!$D14-'DCF Sensitivity Analysis'!I$6))/(1+$D14)^'DCF Analysis'!$H$34)/'DCF Analysis'!$D$49)</f>
        <v>19.834879382828564</v>
      </c>
      <c r="J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Analysis'!J$6))/('DCF Sensitivity Analysis'!$D14-'DCF Sensitivity Analysis'!J$6))/(1+$D14)^'DCF Analysis'!$H$34)/'DCF Analysis'!$D$49)</f>
        <v>20.733909040210246</v>
      </c>
      <c r="K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Analysis'!K$6))/('DCF Sensitivity Analysis'!$D14-'DCF Sensitivity Analysis'!K$6))/(1+$D14)^'DCF Analysis'!$H$34)/'DCF Analysis'!$D$49)</f>
        <v>21.732830881745453</v>
      </c>
      <c r="L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Analysis'!L$6))/('DCF Sensitivity Analysis'!$D14-'DCF Sensitivity Analysis'!L$6))/(1+$D14)^'DCF Analysis'!$H$34)/'DCF Analysis'!$D$49)</f>
        <v>22.849272939931851</v>
      </c>
      <c r="M14" s="76">
        <f>((('DCF Analysis'!$D$37/(1+'DCF Sensitivity Analysis'!$D14))+('DCF Analysis'!$E$37/(1+'DCF Sensitivity Analysis'!$D14)^'DCF Analysis'!$E$34)+('DCF Analysis'!$F$37/(1+'DCF Sensitivity Analysis'!$D14)^'DCF Analysis'!$F$34)+('DCF Analysis'!$G$37/(1+'DCF Sensitivity Analysis'!$D14)^'DCF Analysis'!$G$34)+(('DCF Analysis'!$H$37*(1+'DCF Sensitivity Analysis'!M$6))/('DCF Sensitivity Analysis'!$D14-'DCF Sensitivity Analysis'!M$6))/(1+$D14)^'DCF Analysis'!$H$34)/'DCF Analysis'!$D$49)</f>
        <v>24.105270255391556</v>
      </c>
    </row>
    <row r="15" spans="1:13" x14ac:dyDescent="0.2">
      <c r="D15" s="51">
        <v>0.15</v>
      </c>
      <c r="E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Analysis'!E$6))/('DCF Sensitivity Analysis'!$D15-'DCF Sensitivity Analysis'!E$6))/(1+$D15)^'DCF Analysis'!$H$34)/'DCF Analysis'!$D$49)</f>
        <v>15.408359892970955</v>
      </c>
      <c r="F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Analysis'!F$6))/('DCF Sensitivity Analysis'!$D15-'DCF Sensitivity Analysis'!F$6))/(1+$D15)^'DCF Analysis'!$H$34)/'DCF Analysis'!$D$49)</f>
        <v>15.915902261990656</v>
      </c>
      <c r="G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Analysis'!G$6))/('DCF Sensitivity Analysis'!$D15-'DCF Sensitivity Analysis'!G$6))/(1+$D15)^'DCF Analysis'!$H$34)/'DCF Analysis'!$D$49)</f>
        <v>16.465739828428667</v>
      </c>
      <c r="H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Analysis'!H$6))/('DCF Sensitivity Analysis'!$D15-'DCF Sensitivity Analysis'!H$6))/(1+$D15)^'DCF Analysis'!$H$34)/'DCF Analysis'!$D$49)</f>
        <v>17.063389357165637</v>
      </c>
      <c r="I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Analysis'!I$6))/('DCF Sensitivity Analysis'!$D15-'DCF Sensitivity Analysis'!I$6))/(1+$D15)^'DCF Analysis'!$H$34)/'DCF Analysis'!$D$49)</f>
        <v>17.715370661242332</v>
      </c>
      <c r="J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Analysis'!J$6))/('DCF Sensitivity Analysis'!$D15-'DCF Sensitivity Analysis'!J$6))/(1+$D15)^'DCF Analysis'!$H$34)/'DCF Analysis'!$D$49)</f>
        <v>18.429445422850133</v>
      </c>
      <c r="K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Analysis'!K$6))/('DCF Sensitivity Analysis'!$D15-'DCF Sensitivity Analysis'!K$6))/(1+$D15)^'DCF Analysis'!$H$34)/'DCF Analysis'!$D$49)</f>
        <v>19.214927660618724</v>
      </c>
      <c r="L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Analysis'!L$6))/('DCF Sensitivity Analysis'!$D15-'DCF Sensitivity Analysis'!L$6))/(1+$D15)^'DCF Analysis'!$H$34)/'DCF Analysis'!$D$49)</f>
        <v>20.083092239205055</v>
      </c>
      <c r="M15" s="76">
        <f>((('DCF Analysis'!$D$37/(1+'DCF Sensitivity Analysis'!$D15))+('DCF Analysis'!$E$37/(1+'DCF Sensitivity Analysis'!$D15)^'DCF Analysis'!$E$34)+('DCF Analysis'!$F$37/(1+'DCF Sensitivity Analysis'!$D15)^'DCF Analysis'!$F$34)+('DCF Analysis'!$G$37/(1+'DCF Sensitivity Analysis'!$D15)^'DCF Analysis'!$G$34)+(('DCF Analysis'!$H$37*(1+'DCF Sensitivity Analysis'!M$6))/('DCF Sensitivity Analysis'!$D15-'DCF Sensitivity Analysis'!M$6))/(1+$D15)^'DCF Analysis'!$H$34)/'DCF Analysis'!$D$49)</f>
        <v>21.047719548745427</v>
      </c>
    </row>
  </sheetData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sqref="A1:C1"/>
    </sheetView>
  </sheetViews>
  <sheetFormatPr defaultRowHeight="12.75" x14ac:dyDescent="0.2"/>
  <cols>
    <col min="1" max="5" width="9.140625" style="5" customWidth="1"/>
    <col min="6" max="6" width="9.28515625" style="5" bestFit="1" customWidth="1"/>
    <col min="7" max="7" width="10.28515625" style="5" bestFit="1" customWidth="1"/>
    <col min="8" max="11" width="9.28515625" style="5" bestFit="1" customWidth="1"/>
    <col min="12" max="12" width="11.5703125" style="55" bestFit="1" customWidth="1"/>
    <col min="13" max="14" width="9.140625" style="55" customWidth="1"/>
    <col min="15" max="16" width="10.28515625" style="55" bestFit="1" customWidth="1"/>
    <col min="17" max="16384" width="9.140625" style="5"/>
  </cols>
  <sheetData>
    <row r="1" spans="1:16" x14ac:dyDescent="0.2">
      <c r="A1" s="5" t="s">
        <v>241</v>
      </c>
    </row>
    <row r="2" spans="1:16" s="1" customFormat="1" ht="18" x14ac:dyDescent="0.25">
      <c r="A2" s="1" t="s">
        <v>187</v>
      </c>
      <c r="L2" s="53"/>
      <c r="M2" s="53"/>
      <c r="N2" s="53"/>
      <c r="O2" s="53"/>
      <c r="P2" s="53"/>
    </row>
    <row r="5" spans="1:16" ht="15.75" x14ac:dyDescent="0.25">
      <c r="L5" s="95" t="s">
        <v>237</v>
      </c>
    </row>
    <row r="6" spans="1:16" s="2" customFormat="1" x14ac:dyDescent="0.2">
      <c r="F6" s="2" t="s">
        <v>70</v>
      </c>
      <c r="G6" s="2" t="s">
        <v>68</v>
      </c>
      <c r="H6" s="2" t="s">
        <v>65</v>
      </c>
      <c r="I6" s="2" t="s">
        <v>63</v>
      </c>
      <c r="J6" s="2" t="s">
        <v>3</v>
      </c>
      <c r="K6" s="2" t="s">
        <v>2</v>
      </c>
      <c r="L6" s="54" t="s">
        <v>129</v>
      </c>
      <c r="M6" s="54" t="s">
        <v>130</v>
      </c>
      <c r="N6" s="54" t="s">
        <v>131</v>
      </c>
      <c r="O6" s="54" t="s">
        <v>132</v>
      </c>
      <c r="P6" s="54" t="s">
        <v>144</v>
      </c>
    </row>
    <row r="7" spans="1:16" s="2" customFormat="1" x14ac:dyDescent="0.2">
      <c r="L7" s="54"/>
      <c r="M7" s="54"/>
      <c r="N7" s="54"/>
      <c r="O7" s="54"/>
      <c r="P7" s="54"/>
    </row>
    <row r="8" spans="1:16" x14ac:dyDescent="0.2">
      <c r="B8" s="5" t="s">
        <v>188</v>
      </c>
      <c r="F8" s="5">
        <v>78</v>
      </c>
      <c r="G8" s="5">
        <f t="shared" ref="G8:P8" si="0">F15</f>
        <v>86</v>
      </c>
      <c r="H8" s="5">
        <f t="shared" si="0"/>
        <v>94</v>
      </c>
      <c r="I8" s="5">
        <f t="shared" si="0"/>
        <v>102</v>
      </c>
      <c r="J8" s="5">
        <f t="shared" si="0"/>
        <v>107</v>
      </c>
      <c r="K8" s="5">
        <f t="shared" si="0"/>
        <v>117</v>
      </c>
      <c r="L8" s="55">
        <f t="shared" si="0"/>
        <v>122</v>
      </c>
      <c r="M8" s="55">
        <f t="shared" si="0"/>
        <v>131</v>
      </c>
      <c r="N8" s="55">
        <f t="shared" si="0"/>
        <v>140</v>
      </c>
      <c r="O8" s="55">
        <f t="shared" si="0"/>
        <v>149</v>
      </c>
      <c r="P8" s="55">
        <f t="shared" si="0"/>
        <v>158</v>
      </c>
    </row>
    <row r="10" spans="1:16" x14ac:dyDescent="0.2">
      <c r="B10" s="5" t="s">
        <v>189</v>
      </c>
      <c r="F10" s="5">
        <v>3</v>
      </c>
      <c r="G10" s="5">
        <v>6</v>
      </c>
      <c r="H10" s="5">
        <v>3</v>
      </c>
      <c r="I10" s="5">
        <v>3</v>
      </c>
      <c r="J10" s="5">
        <v>2</v>
      </c>
      <c r="K10" s="5">
        <v>7</v>
      </c>
      <c r="L10" s="94">
        <v>4.5</v>
      </c>
      <c r="M10" s="94">
        <v>4.5</v>
      </c>
      <c r="N10" s="94">
        <v>4.5</v>
      </c>
      <c r="O10" s="94">
        <v>4.5</v>
      </c>
      <c r="P10" s="94">
        <v>4.5</v>
      </c>
    </row>
    <row r="11" spans="1:16" x14ac:dyDescent="0.2">
      <c r="B11" s="5" t="s">
        <v>190</v>
      </c>
      <c r="F11" s="5">
        <v>5</v>
      </c>
      <c r="G11" s="5">
        <v>2</v>
      </c>
      <c r="H11" s="5">
        <v>5</v>
      </c>
      <c r="I11" s="5">
        <v>2</v>
      </c>
      <c r="J11" s="5">
        <v>8</v>
      </c>
      <c r="K11" s="5">
        <v>4</v>
      </c>
      <c r="L11" s="94">
        <v>4.5</v>
      </c>
      <c r="M11" s="94">
        <v>4.5</v>
      </c>
      <c r="N11" s="94">
        <v>4.5</v>
      </c>
      <c r="O11" s="94">
        <v>4.5</v>
      </c>
      <c r="P11" s="94">
        <v>4.5</v>
      </c>
    </row>
    <row r="12" spans="1:16" x14ac:dyDescent="0.2">
      <c r="C12" s="5" t="s">
        <v>196</v>
      </c>
      <c r="F12" s="5">
        <f t="shared" ref="F12:P12" si="1">F10+F11</f>
        <v>8</v>
      </c>
      <c r="G12" s="5">
        <f t="shared" si="1"/>
        <v>8</v>
      </c>
      <c r="H12" s="5">
        <f t="shared" si="1"/>
        <v>8</v>
      </c>
      <c r="I12" s="5">
        <f t="shared" si="1"/>
        <v>5</v>
      </c>
      <c r="J12" s="5">
        <f>J10+J11</f>
        <v>10</v>
      </c>
      <c r="K12" s="5">
        <f t="shared" si="1"/>
        <v>11</v>
      </c>
      <c r="L12" s="55">
        <f t="shared" si="1"/>
        <v>9</v>
      </c>
      <c r="M12" s="55">
        <f t="shared" si="1"/>
        <v>9</v>
      </c>
      <c r="N12" s="55">
        <f t="shared" si="1"/>
        <v>9</v>
      </c>
      <c r="O12" s="55">
        <f t="shared" si="1"/>
        <v>9</v>
      </c>
      <c r="P12" s="55">
        <f t="shared" si="1"/>
        <v>9</v>
      </c>
    </row>
    <row r="13" spans="1:16" x14ac:dyDescent="0.2">
      <c r="B13" s="5" t="s">
        <v>218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6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</row>
    <row r="14" spans="1:16" x14ac:dyDescent="0.2">
      <c r="B14" s="9" t="s">
        <v>217</v>
      </c>
      <c r="C14" s="9"/>
      <c r="D14" s="9"/>
      <c r="E14" s="9"/>
      <c r="F14" s="9">
        <f t="shared" ref="F14:K14" si="2">F12-F13</f>
        <v>8</v>
      </c>
      <c r="G14" s="9">
        <f t="shared" si="2"/>
        <v>8</v>
      </c>
      <c r="H14" s="9">
        <f t="shared" si="2"/>
        <v>8</v>
      </c>
      <c r="I14" s="9">
        <f t="shared" si="2"/>
        <v>5</v>
      </c>
      <c r="J14" s="9">
        <f t="shared" si="2"/>
        <v>10</v>
      </c>
      <c r="K14" s="9">
        <f t="shared" si="2"/>
        <v>5</v>
      </c>
      <c r="L14" s="57">
        <f>L12-L13</f>
        <v>9</v>
      </c>
      <c r="M14" s="57">
        <f>M12-M13</f>
        <v>9</v>
      </c>
      <c r="N14" s="57">
        <f>N12-N13</f>
        <v>9</v>
      </c>
      <c r="O14" s="57">
        <f>O12-O13</f>
        <v>9</v>
      </c>
      <c r="P14" s="57">
        <f>P12-P13</f>
        <v>9</v>
      </c>
    </row>
    <row r="15" spans="1:16" x14ac:dyDescent="0.2">
      <c r="B15" s="5" t="s">
        <v>191</v>
      </c>
      <c r="F15" s="5">
        <f>F8+F14</f>
        <v>86</v>
      </c>
      <c r="G15" s="5">
        <f t="shared" ref="G15:P15" si="3">G8+G14</f>
        <v>94</v>
      </c>
      <c r="H15" s="5">
        <f t="shared" si="3"/>
        <v>102</v>
      </c>
      <c r="I15" s="5">
        <f t="shared" si="3"/>
        <v>107</v>
      </c>
      <c r="J15" s="5">
        <f t="shared" si="3"/>
        <v>117</v>
      </c>
      <c r="K15" s="5">
        <f>K8+K14</f>
        <v>122</v>
      </c>
      <c r="L15" s="55">
        <f t="shared" si="3"/>
        <v>131</v>
      </c>
      <c r="M15" s="55">
        <f t="shared" si="3"/>
        <v>140</v>
      </c>
      <c r="N15" s="55">
        <f t="shared" si="3"/>
        <v>149</v>
      </c>
      <c r="O15" s="55">
        <f t="shared" si="3"/>
        <v>158</v>
      </c>
      <c r="P15" s="55">
        <f t="shared" si="3"/>
        <v>167</v>
      </c>
    </row>
    <row r="18" spans="2:16" x14ac:dyDescent="0.2">
      <c r="B18" s="5" t="s">
        <v>192</v>
      </c>
      <c r="F18" s="5">
        <v>1900</v>
      </c>
      <c r="G18" s="5">
        <v>11600</v>
      </c>
      <c r="H18" s="5">
        <v>5100</v>
      </c>
      <c r="I18" s="5">
        <v>1400</v>
      </c>
      <c r="J18" s="5">
        <v>700</v>
      </c>
      <c r="K18" s="5">
        <v>6900</v>
      </c>
    </row>
    <row r="19" spans="2:16" s="16" customFormat="1" ht="11.25" x14ac:dyDescent="0.2">
      <c r="C19" s="16" t="s">
        <v>201</v>
      </c>
      <c r="G19" s="19">
        <f>((G18/F18)/1)/G10</f>
        <v>1.0175438596491229</v>
      </c>
      <c r="H19" s="19">
        <f>((H18/G18)/1)/H10</f>
        <v>0.14655172413793102</v>
      </c>
      <c r="I19" s="19">
        <f>((I18/H18)/1)/I10</f>
        <v>9.1503267973856217E-2</v>
      </c>
      <c r="J19" s="19">
        <f>((J18/I18)/1)/J10</f>
        <v>0.25</v>
      </c>
      <c r="K19" s="19">
        <f>((K18/J18)/1)/K10</f>
        <v>1.4081632653061225</v>
      </c>
      <c r="L19" s="56"/>
      <c r="M19" s="56"/>
      <c r="N19" s="56"/>
      <c r="O19" s="56"/>
      <c r="P19" s="56"/>
    </row>
    <row r="20" spans="2:16" x14ac:dyDescent="0.2">
      <c r="B20" s="5" t="s">
        <v>193</v>
      </c>
      <c r="G20" s="5">
        <f>'Income Statement'!E7-'Income Statement'!D7-G18</f>
        <v>50967</v>
      </c>
      <c r="H20" s="5">
        <f>'Income Statement'!F7-'Income Statement'!E7-H18</f>
        <v>25867</v>
      </c>
      <c r="I20" s="5">
        <f>'Income Statement'!G7-'Income Statement'!F7-I18</f>
        <v>42191</v>
      </c>
      <c r="J20" s="5">
        <f>'Income Statement'!H7-'Income Statement'!G7-J18</f>
        <v>56017</v>
      </c>
      <c r="K20" s="5">
        <f>'Income Statement'!I7-'Income Statement'!H7-K18</f>
        <v>73940</v>
      </c>
    </row>
    <row r="21" spans="2:16" s="16" customFormat="1" ht="11.25" x14ac:dyDescent="0.2">
      <c r="C21" s="16" t="s">
        <v>200</v>
      </c>
      <c r="H21" s="19">
        <f>((H20/G20)-1)/H11</f>
        <v>-9.8495104675574388E-2</v>
      </c>
      <c r="I21" s="19">
        <f>((I20/H20)-1)/I11</f>
        <v>0.31553717091274602</v>
      </c>
      <c r="J21" s="19">
        <f>((J20/I20)-1)/J11</f>
        <v>4.0962527553269651E-2</v>
      </c>
      <c r="K21" s="19">
        <f>((K20/J20)-1)/K11</f>
        <v>7.9989110448613787E-2</v>
      </c>
      <c r="L21" s="56"/>
      <c r="M21" s="56"/>
      <c r="N21" s="56"/>
      <c r="O21" s="56"/>
      <c r="P21" s="56"/>
    </row>
    <row r="22" spans="2:16" x14ac:dyDescent="0.2">
      <c r="B22" s="5" t="s">
        <v>198</v>
      </c>
      <c r="G22" s="5">
        <f>'Income Statement'!E7-G18-G20</f>
        <v>253889</v>
      </c>
      <c r="H22" s="5">
        <f>'Income Statement'!F7-H18-H20</f>
        <v>316456</v>
      </c>
      <c r="I22" s="5">
        <f>'Income Statement'!G7-I18-I20</f>
        <v>347423</v>
      </c>
      <c r="J22" s="5">
        <f>'Income Statement'!H7-J18-J20</f>
        <v>391014</v>
      </c>
      <c r="K22" s="5">
        <f>'Income Statement'!I7-K18-K20</f>
        <v>447731</v>
      </c>
      <c r="L22" s="55">
        <f>'Income Statement'!J7-L18-L20</f>
        <v>634285.19999999995</v>
      </c>
      <c r="M22" s="55">
        <f>'Income Statement'!K7-M18-M20</f>
        <v>729427.97999999986</v>
      </c>
      <c r="N22" s="55">
        <f>'Income Statement'!L7-N18-N20</f>
        <v>853430.73659999983</v>
      </c>
      <c r="O22" s="55">
        <f>'Income Statement'!M7-O18-O20</f>
        <v>1049719.8060179998</v>
      </c>
      <c r="P22" s="55">
        <f>'Income Statement'!N7-P18-P20</f>
        <v>1217674.9749808796</v>
      </c>
    </row>
    <row r="23" spans="2:16" s="16" customFormat="1" ht="11.25" x14ac:dyDescent="0.2">
      <c r="C23" s="32" t="s">
        <v>199</v>
      </c>
      <c r="H23" s="19">
        <f>(H22/G22)-1</f>
        <v>0.24643446545537606</v>
      </c>
      <c r="I23" s="19">
        <f t="shared" ref="I23:P23" si="4">(I22/H22)-1</f>
        <v>9.7855626058598988E-2</v>
      </c>
      <c r="J23" s="19">
        <f t="shared" si="4"/>
        <v>0.12546952849984017</v>
      </c>
      <c r="K23" s="19">
        <f t="shared" si="4"/>
        <v>0.14505107234012082</v>
      </c>
      <c r="L23" s="56">
        <f t="shared" si="4"/>
        <v>0.41666581049782114</v>
      </c>
      <c r="M23" s="56">
        <f t="shared" si="4"/>
        <v>0.14999999999999991</v>
      </c>
      <c r="N23" s="56">
        <f t="shared" si="4"/>
        <v>0.16999999999999993</v>
      </c>
      <c r="O23" s="56">
        <f t="shared" si="4"/>
        <v>0.22999999999999998</v>
      </c>
      <c r="P23" s="56">
        <f t="shared" si="4"/>
        <v>0.15999999999999992</v>
      </c>
    </row>
    <row r="25" spans="2:16" x14ac:dyDescent="0.2">
      <c r="B25" s="5" t="s">
        <v>194</v>
      </c>
      <c r="F25" s="5">
        <v>45900</v>
      </c>
      <c r="G25" s="5">
        <v>85900</v>
      </c>
      <c r="H25" s="5">
        <v>70700</v>
      </c>
      <c r="I25" s="5">
        <v>61800</v>
      </c>
      <c r="J25" s="5">
        <v>66200</v>
      </c>
      <c r="K25" s="5">
        <v>97000</v>
      </c>
      <c r="L25" s="55">
        <f>L26*L14</f>
        <v>81000</v>
      </c>
      <c r="M25" s="55">
        <f>M26*M14</f>
        <v>83430</v>
      </c>
      <c r="N25" s="55">
        <f>N26*N14</f>
        <v>85932.900000000009</v>
      </c>
      <c r="O25" s="55">
        <f>O26*O14</f>
        <v>88510.887000000017</v>
      </c>
      <c r="P25" s="55">
        <f>P26*P14</f>
        <v>91166.213610000006</v>
      </c>
    </row>
    <row r="26" spans="2:16" x14ac:dyDescent="0.2">
      <c r="B26" s="5" t="s">
        <v>195</v>
      </c>
      <c r="F26" s="5">
        <f t="shared" ref="F26:K26" si="5">F25/F12</f>
        <v>5737.5</v>
      </c>
      <c r="G26" s="5">
        <f t="shared" si="5"/>
        <v>10737.5</v>
      </c>
      <c r="H26" s="5">
        <f t="shared" si="5"/>
        <v>8837.5</v>
      </c>
      <c r="I26" s="5">
        <f t="shared" si="5"/>
        <v>12360</v>
      </c>
      <c r="J26" s="5">
        <f t="shared" si="5"/>
        <v>6620</v>
      </c>
      <c r="K26" s="5">
        <f t="shared" si="5"/>
        <v>8818.181818181818</v>
      </c>
      <c r="L26" s="55">
        <v>9000</v>
      </c>
      <c r="M26" s="55">
        <f>L26*1.03</f>
        <v>9270</v>
      </c>
      <c r="N26" s="55">
        <f>M26*1.03</f>
        <v>9548.1</v>
      </c>
      <c r="O26" s="55">
        <f>N26*1.03</f>
        <v>9834.5430000000015</v>
      </c>
      <c r="P26" s="55">
        <f>O26*1.03</f>
        <v>10129.579290000001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Income Statement</vt:lpstr>
      <vt:lpstr>Balance Sheet</vt:lpstr>
      <vt:lpstr>Shareholders Equity</vt:lpstr>
      <vt:lpstr>DCF Analysis</vt:lpstr>
      <vt:lpstr>NWC</vt:lpstr>
      <vt:lpstr>Assumptions</vt:lpstr>
      <vt:lpstr>DuPont Analysis</vt:lpstr>
      <vt:lpstr>DCF Sensitivity Analysis</vt:lpstr>
      <vt:lpstr>Openings.Acquisitions</vt:lpstr>
      <vt:lpstr>Portfolio Contribution</vt:lpstr>
      <vt:lpstr>Correlation</vt:lpstr>
      <vt:lpstr>Margins</vt:lpstr>
      <vt:lpstr>Porter's 5 Forces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xlParse</cp:lastModifiedBy>
  <dcterms:created xsi:type="dcterms:W3CDTF">2006-11-21T18:27:52Z</dcterms:created>
  <dcterms:modified xsi:type="dcterms:W3CDTF">2017-10-20T11:59:48Z</dcterms:modified>
</cp:coreProperties>
</file>